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kkepperling\Downloads\"/>
    </mc:Choice>
  </mc:AlternateContent>
  <xr:revisionPtr revIDLastSave="0" documentId="13_ncr:1_{4E5BD1EA-5E67-475C-A918-931C230C7F4A}" xr6:coauthVersionLast="47" xr6:coauthVersionMax="47" xr10:uidLastSave="{00000000-0000-0000-0000-000000000000}"/>
  <bookViews>
    <workbookView xWindow="-120" yWindow="-120" windowWidth="29040" windowHeight="15720" tabRatio="899" activeTab="2" xr2:uid="{8C938A30-EA2A-442F-A344-22ED28A36B2A}"/>
  </bookViews>
  <sheets>
    <sheet name="Trucks, Tractors, and Trailers" sheetId="2" r:id="rId1"/>
    <sheet name="Public Transportation" sheetId="1" r:id="rId2"/>
    <sheet name="Auto Dealers" sheetId="8" r:id="rId3"/>
    <sheet name="Experience Rating" sheetId="9" r:id="rId4"/>
    <sheet name="Credibility&amp;MSLTable" sheetId="11" state="hidden" r:id="rId5"/>
    <sheet name="LDFFactors" sheetId="12" state="hidden" r:id="rId6"/>
    <sheet name="Gross Receipts" sheetId="4" r:id="rId7"/>
  </sheets>
  <definedNames>
    <definedName name="_xlnm.Print_Area" localSheetId="2">'Auto Dealers'!$A$3:$S$66</definedName>
    <definedName name="_xlnm.Print_Area" localSheetId="3">'Experience Rating'!$A$3:$H$39</definedName>
    <definedName name="_xlnm.Print_Area" localSheetId="6">'Gross Receipts'!$A$3:$E$22</definedName>
    <definedName name="_xlnm.Print_Area" localSheetId="1">'Public Transportation'!$A$3:$O$26</definedName>
    <definedName name="_xlnm.Print_Area" localSheetId="0">'Trucks, Tractors, and Trailers'!$A$3:$Q$30</definedName>
    <definedName name="QuickMark" localSheetId="1">'Public Transportation'!$A$16</definedName>
    <definedName name="TROVE_93" localSheetId="0">'Trucks, Tractors, and Trailers'!#REF!</definedName>
    <definedName name="TROVE_Rule102" localSheetId="2">'Auto Dealers'!#REF!</definedName>
    <definedName name="TROVE_Rule3" localSheetId="1">'Public Transportation'!#REF!</definedName>
    <definedName name="TROVE_Rule4" localSheetId="0">'Trucks, Tractors, and Trailers'!#REF!</definedName>
    <definedName name="TROVE_Rule52" localSheetId="1">'Public Transportation'!#REF!</definedName>
    <definedName name="TROVE_Rule53" localSheetId="0">'Trucks, Tractors, and Trailers'!#REF!</definedName>
    <definedName name="TROVE_Rule56" localSheetId="0">'Trucks, Tractors, and Trailers'!#REF!</definedName>
    <definedName name="TROVE_Rule58" localSheetId="1">'Public Transportation'!#REF!</definedName>
    <definedName name="TROVE_Rule59" localSheetId="1">'Public Transportation'!#REF!</definedName>
    <definedName name="TROVE_Rule61" localSheetId="1">'Public Transportation'!#REF!</definedName>
    <definedName name="TROVE_Rule94" localSheetId="1">'Public Transportation'!#REF!</definedName>
    <definedName name="X_KY_RULE101" localSheetId="2">'Auto Dealers'!#REF!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9" l="1"/>
  <c r="B13" i="9"/>
  <c r="B26" i="9"/>
  <c r="D16" i="9"/>
  <c r="C16" i="9"/>
  <c r="B16" i="9"/>
  <c r="D12" i="9"/>
  <c r="D13" i="9"/>
  <c r="D26" i="9"/>
  <c r="C12" i="9"/>
  <c r="C13" i="9"/>
  <c r="C26" i="9"/>
  <c r="E26" i="9" s="1"/>
  <c r="D11" i="4"/>
  <c r="D13" i="4"/>
  <c r="D15" i="4"/>
  <c r="D10" i="4"/>
  <c r="D16" i="4"/>
  <c r="U56" i="8"/>
  <c r="AB56" i="8"/>
  <c r="S56" i="8"/>
  <c r="Z56" i="8"/>
  <c r="AA56" i="8"/>
  <c r="AA55" i="8"/>
  <c r="Z55" i="8"/>
  <c r="Z52" i="8"/>
  <c r="K12" i="1"/>
  <c r="K13" i="1"/>
  <c r="M12" i="1"/>
  <c r="M13" i="1"/>
  <c r="T12" i="1"/>
  <c r="S12" i="1"/>
  <c r="O14" i="1"/>
  <c r="W13" i="1"/>
  <c r="V13" i="1"/>
  <c r="W12" i="1"/>
  <c r="V12" i="1"/>
  <c r="S17" i="2"/>
  <c r="Z17" i="2"/>
  <c r="Y17" i="2"/>
  <c r="Q18" i="2"/>
  <c r="X17" i="2"/>
  <c r="Y16" i="2"/>
  <c r="X16" i="2"/>
  <c r="O17" i="2"/>
  <c r="O16" i="2"/>
  <c r="X13" i="2"/>
  <c r="P56" i="8"/>
  <c r="N56" i="8"/>
  <c r="N55" i="8"/>
  <c r="M17" i="2"/>
  <c r="M16" i="2"/>
  <c r="G8" i="1"/>
  <c r="G8" i="2"/>
  <c r="J54" i="8"/>
  <c r="X54" i="8"/>
  <c r="J53" i="8"/>
  <c r="X53" i="8"/>
  <c r="P55" i="8"/>
  <c r="V55" i="8"/>
  <c r="AA52" i="8"/>
  <c r="Y52" i="8"/>
  <c r="U54" i="8"/>
  <c r="U53" i="8"/>
  <c r="U57" i="8"/>
  <c r="U55" i="8"/>
  <c r="U52" i="8"/>
  <c r="AB52" i="8"/>
  <c r="S52" i="8"/>
  <c r="R13" i="1"/>
  <c r="X13" i="1"/>
  <c r="O13" i="1"/>
  <c r="U12" i="1"/>
  <c r="R12" i="1"/>
  <c r="X12" i="1"/>
  <c r="O12" i="1"/>
  <c r="W9" i="1"/>
  <c r="V9" i="1"/>
  <c r="U9" i="1"/>
  <c r="T9" i="1"/>
  <c r="S9" i="1"/>
  <c r="R9" i="1"/>
  <c r="X9" i="1"/>
  <c r="O9" i="1"/>
  <c r="V16" i="2"/>
  <c r="T16" i="2"/>
  <c r="S16" i="2"/>
  <c r="Z16" i="2"/>
  <c r="Q16" i="2"/>
  <c r="Y13" i="2"/>
  <c r="W13" i="2"/>
  <c r="V13" i="2"/>
  <c r="U13" i="2"/>
  <c r="T13" i="2"/>
  <c r="S13" i="2"/>
  <c r="Z13" i="2"/>
  <c r="Q13" i="2"/>
  <c r="P11" i="8"/>
  <c r="P10" i="8"/>
  <c r="P35" i="8"/>
  <c r="P34" i="8"/>
  <c r="P33" i="8"/>
  <c r="P31" i="8"/>
  <c r="P30" i="8"/>
  <c r="P29" i="8"/>
  <c r="P25" i="8"/>
  <c r="P24" i="8"/>
  <c r="P23" i="8"/>
  <c r="P21" i="8"/>
  <c r="P20" i="8"/>
  <c r="P19" i="8"/>
  <c r="P16" i="8"/>
  <c r="P15" i="8"/>
  <c r="P14" i="8"/>
  <c r="P12" i="8"/>
  <c r="P37" i="8"/>
  <c r="AA39" i="8"/>
  <c r="P41" i="8"/>
  <c r="P43" i="8" s="1"/>
  <c r="O11" i="1"/>
  <c r="O10" i="1"/>
  <c r="Q15" i="2"/>
  <c r="Q14" i="2"/>
  <c r="AB53" i="8"/>
  <c r="S53" i="8"/>
  <c r="AB57" i="8"/>
  <c r="S57" i="8"/>
  <c r="Q17" i="2"/>
  <c r="AB54" i="8"/>
  <c r="S54" i="8"/>
  <c r="AB55" i="8"/>
  <c r="S55" i="8"/>
  <c r="S58" i="8" s="1"/>
  <c r="H57" i="8"/>
  <c r="W57" i="8"/>
  <c r="H52" i="8"/>
  <c r="W52" i="8"/>
  <c r="H56" i="8"/>
  <c r="W56" i="8"/>
  <c r="H55" i="8"/>
  <c r="W55" i="8"/>
  <c r="O16" i="1"/>
  <c r="Q20" i="2"/>
  <c r="A101" i="11"/>
  <c r="A56" i="11"/>
  <c r="A23" i="11"/>
  <c r="A82" i="11"/>
  <c r="A20" i="11"/>
  <c r="A95" i="11"/>
  <c r="A55" i="11"/>
  <c r="A66" i="11"/>
  <c r="A53" i="11"/>
  <c r="A42" i="11"/>
  <c r="A75" i="11"/>
  <c r="A24" i="11"/>
  <c r="A45" i="11"/>
  <c r="A49" i="11"/>
  <c r="A79" i="11"/>
  <c r="A40" i="11"/>
  <c r="A5" i="11"/>
  <c r="A71" i="11"/>
  <c r="A38" i="11"/>
  <c r="A100" i="11"/>
  <c r="A78" i="11"/>
  <c r="A73" i="11"/>
  <c r="A34" i="11"/>
  <c r="A77" i="11"/>
  <c r="A11" i="11"/>
  <c r="A35" i="11"/>
  <c r="A7" i="11"/>
  <c r="A60" i="11"/>
  <c r="A50" i="11"/>
  <c r="A17" i="11"/>
  <c r="A13" i="11"/>
  <c r="A22" i="11"/>
  <c r="A93" i="11"/>
  <c r="A10" i="11"/>
  <c r="A80" i="11"/>
  <c r="A99" i="11"/>
  <c r="A39" i="11"/>
  <c r="A36" i="11"/>
  <c r="A54" i="11"/>
  <c r="A76" i="11"/>
  <c r="A8" i="11"/>
  <c r="A68" i="11"/>
  <c r="A18" i="11"/>
  <c r="A31" i="11"/>
  <c r="A97" i="11"/>
  <c r="A86" i="11"/>
  <c r="A32" i="11"/>
  <c r="A48" i="11"/>
  <c r="A46" i="11"/>
  <c r="A98" i="11"/>
  <c r="A94" i="11"/>
  <c r="A16" i="11"/>
  <c r="A70" i="11"/>
  <c r="A67" i="11"/>
  <c r="A47" i="11"/>
  <c r="A44" i="11"/>
  <c r="A96" i="11"/>
  <c r="A59" i="11"/>
  <c r="A65" i="11"/>
  <c r="A72" i="11"/>
  <c r="A52" i="11"/>
  <c r="A28" i="11"/>
  <c r="A30" i="11"/>
  <c r="A33" i="11"/>
  <c r="A63" i="11"/>
  <c r="A4" i="11"/>
  <c r="A19" i="11"/>
  <c r="A81" i="11"/>
  <c r="A90" i="11"/>
  <c r="A9" i="11"/>
  <c r="A21" i="11"/>
  <c r="A74" i="11"/>
  <c r="A37" i="11"/>
  <c r="A62" i="11"/>
  <c r="A27" i="11"/>
  <c r="A85" i="11"/>
  <c r="A92" i="11"/>
  <c r="A58" i="11"/>
  <c r="A69" i="11"/>
  <c r="A83" i="11"/>
  <c r="A84" i="11"/>
  <c r="A51" i="11"/>
  <c r="A61" i="11"/>
  <c r="A12" i="11"/>
  <c r="A14" i="11"/>
  <c r="A91" i="11"/>
  <c r="A3" i="11"/>
  <c r="A88" i="11"/>
  <c r="A89" i="11"/>
  <c r="A25" i="11"/>
  <c r="A43" i="11"/>
  <c r="A41" i="11"/>
  <c r="A87" i="11"/>
  <c r="A57" i="11"/>
  <c r="A29" i="11"/>
  <c r="A15" i="11"/>
  <c r="A64" i="11"/>
  <c r="A6" i="11"/>
  <c r="A26" i="11"/>
  <c r="E31" i="9"/>
  <c r="F31" i="9"/>
  <c r="E29" i="9"/>
  <c r="C14" i="9"/>
  <c r="C15" i="9"/>
  <c r="C17" i="9"/>
  <c r="C19" i="9"/>
  <c r="C27" i="9"/>
  <c r="B14" i="9"/>
  <c r="B15" i="9"/>
  <c r="B17" i="9"/>
  <c r="B19" i="9"/>
  <c r="B27" i="9"/>
  <c r="D14" i="9"/>
  <c r="D15" i="9"/>
  <c r="D17" i="9"/>
  <c r="D19" i="9"/>
  <c r="D27" i="9"/>
  <c r="F22" i="9"/>
  <c r="E27" i="9"/>
  <c r="E28" i="9"/>
  <c r="A32" i="9"/>
  <c r="A33" i="9"/>
  <c r="E30" i="9"/>
  <c r="E32" i="9"/>
  <c r="A30" i="9"/>
  <c r="E3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AIPSO</author>
  </authors>
  <commentList>
    <comment ref="E16" authorId="0" shapeId="0" xr:uid="{F781087B-A8C1-417A-8FC7-1D40DF73F9CA}">
      <text>
        <r>
          <rPr>
            <b/>
            <sz val="8"/>
            <color indexed="81"/>
            <rFont val="Tahoma"/>
            <family val="2"/>
          </rPr>
          <t xml:space="preserve">
</t>
        </r>
        <r>
          <rPr>
            <b/>
            <sz val="9"/>
            <color indexed="81"/>
            <rFont val="Tahoma"/>
            <family val="2"/>
          </rPr>
          <t>Trailers Only</t>
        </r>
      </text>
    </comment>
  </commentList>
</comments>
</file>

<file path=xl/sharedStrings.xml><?xml version="1.0" encoding="utf-8"?>
<sst xmlns="http://schemas.openxmlformats.org/spreadsheetml/2006/main" count="383" uniqueCount="153">
  <si>
    <t>Trucks, Tractors, and Trailers Rating Worksheet</t>
  </si>
  <si>
    <t>1. Click on Select Class (green box) to access drop down.</t>
  </si>
  <si>
    <t>2. Complete green shaded boxes only.</t>
  </si>
  <si>
    <t>Select Class</t>
  </si>
  <si>
    <t>COVERAGE</t>
  </si>
  <si>
    <t>BASE RATE (Rate Schedules and Rules 58, 59, and 73)</t>
  </si>
  <si>
    <t>PRIMARY RATING FACTOR (Rule 74)</t>
  </si>
  <si>
    <t>INCREASED LIMITS FACTOR AND DEDUCTIBLES (Rule 52 and Rule 59)</t>
  </si>
  <si>
    <t>POLLUTION LIABILITY FACTOR (Rule 53)</t>
  </si>
  <si>
    <t>ACCIDENT PREVENTION DISCOUNT (Rule 61)</t>
  </si>
  <si>
    <t>EXPERIENCE RATING MODIFICATION OR ADDITIONAL CHARGE (Rule 54 or Rule 3)</t>
  </si>
  <si>
    <t>WHOLE DOLLAR PREMIUM</t>
  </si>
  <si>
    <t>Liability</t>
  </si>
  <si>
    <t>X (</t>
  </si>
  <si>
    <t>+/–</t>
  </si>
  <si>
    <t>) X</t>
  </si>
  <si>
    <t>X</t>
  </si>
  <si>
    <t>=</t>
  </si>
  <si>
    <t>UM</t>
  </si>
  <si>
    <t>NA</t>
  </si>
  <si>
    <t>UIM</t>
  </si>
  <si>
    <t>PIP</t>
  </si>
  <si>
    <t xml:space="preserve">X </t>
  </si>
  <si>
    <t>Added PIP</t>
  </si>
  <si>
    <t>Guest PIP*</t>
  </si>
  <si>
    <t>TOTAL</t>
  </si>
  <si>
    <t>*Guest PIP coverage applies when the named insured and all regular operators of the insured's auto have rejected the tort limitation.</t>
  </si>
  <si>
    <t>Note:</t>
  </si>
  <si>
    <t>Does not include any applicable municipal/county taxes and the Kentucky premium surcharge.</t>
  </si>
  <si>
    <t>Refer to</t>
  </si>
  <si>
    <t>Rule 4. Certified Risks–Financial Responsibility Filings;</t>
  </si>
  <si>
    <t>Rule 56. Motor Carrier Filings.</t>
  </si>
  <si>
    <t>Notice to Producer:</t>
  </si>
  <si>
    <t xml:space="preserve">1. </t>
  </si>
  <si>
    <t>This worksheet is provided to assist the producer to quote an estimated premium and should not be considered the final premium until the policy, if written, is issued by the servicing carrier. The accuracy depends on the information loaded herein. Please refer to the rating rules, factors, and premiums included in the Kentucky Automobile Insurance Plan manual. The Rules are identified above each category.</t>
  </si>
  <si>
    <t xml:space="preserve">2. </t>
  </si>
  <si>
    <t>This worksheet rates only one truck or trailer and multiple worksheets must be completed and totaled for multiple vehicles and trailers.</t>
  </si>
  <si>
    <t>3.</t>
  </si>
  <si>
    <t>If there is a discrepancy between this worksheet and the manual, the manual takes precedence.</t>
  </si>
  <si>
    <t>Public Transportation Autos Rating Worksheet</t>
  </si>
  <si>
    <t>BASE RATE (Rate Schedules and Rules 58, 59, and 93)</t>
  </si>
  <si>
    <t>PRIMARY RATING FACTOR (Rule 94)</t>
  </si>
  <si>
    <t>CHANGES IN LIMITS/ DEDUCTIBLES (Rule 52 and Rule 59)</t>
  </si>
  <si>
    <t>This worksheet rates only one vehicle and multiple worksheets must be completed and totaled for multiple vehicles.</t>
  </si>
  <si>
    <t>Complete green shaded boxes only.</t>
  </si>
  <si>
    <t>I. Enter operators with and without accidents and convictions based on the following categories:</t>
  </si>
  <si>
    <t>Class I</t>
  </si>
  <si>
    <t>Rating Unit Factors</t>
  </si>
  <si>
    <t>Penalty Point Values (Rule 3)</t>
  </si>
  <si>
    <t>Rating Units</t>
  </si>
  <si>
    <t>List each proprietor, partner, and officer active in the business, sales person, general manager, service manager, and any employee whose principal duty is driving autos or who is furnished a garage auto.</t>
  </si>
  <si>
    <t>Full Time</t>
  </si>
  <si>
    <t>Part Time</t>
  </si>
  <si>
    <t>List all other employees.</t>
  </si>
  <si>
    <t>Class II</t>
  </si>
  <si>
    <t>List all other people who are furnished or who have regular use of the dealer’s autos.</t>
  </si>
  <si>
    <t xml:space="preserve">Under Age 25 </t>
  </si>
  <si>
    <t xml:space="preserve">Age 25 and Over </t>
  </si>
  <si>
    <t>Subtotal Rating Units</t>
  </si>
  <si>
    <t xml:space="preserve"> (minimum of 2.00)</t>
  </si>
  <si>
    <t>II. Enter the number of autos held for sale at any one time.</t>
  </si>
  <si>
    <t>Choose One</t>
  </si>
  <si>
    <t>1  –  5</t>
  </si>
  <si>
    <t>Number of Autos Held For Sale at Any One Time</t>
  </si>
  <si>
    <t>6  –  15</t>
  </si>
  <si>
    <t xml:space="preserve">Autos Held for Sale Rating Units </t>
  </si>
  <si>
    <t>16  –  25</t>
  </si>
  <si>
    <t>26  –  50</t>
  </si>
  <si>
    <t>Total Rating Units</t>
  </si>
  <si>
    <t>51  –  75</t>
  </si>
  <si>
    <t>76  –  100</t>
  </si>
  <si>
    <t>III. Enter the number of dealer plates.</t>
  </si>
  <si>
    <t>101  –  250</t>
  </si>
  <si>
    <t>Refer to Rule 102 for rating of minimum premium; autos furnished for regular use to other than Class I or Class II operators; specifically registered autos; and the exposure for nonfranchised dealer of the pick up or delivery of autos beyond a 50-mile radius of the location where operations are conducted.</t>
  </si>
  <si>
    <r>
      <t>IV. Complete green shaded boxes only</t>
    </r>
    <r>
      <rPr>
        <b/>
        <sz val="9"/>
        <color indexed="8"/>
        <rFont val="Arial"/>
        <family val="2"/>
      </rPr>
      <t>.</t>
    </r>
  </si>
  <si>
    <t>Coverage</t>
  </si>
  <si>
    <t>BASE RATE (Rate Schedules and Rule 58 and Rule 59)</t>
  </si>
  <si>
    <t>PIP DEDUCTIBLE PERCENTAGE (Rule 59)</t>
  </si>
  <si>
    <t>RATING UNITS</t>
  </si>
  <si>
    <t>NO. OF DEALER PLATES</t>
  </si>
  <si>
    <t>INCREASED LIMITS FACTOR (Rule 52)</t>
  </si>
  <si>
    <t>EXPERIENCE RATING MODIFICATION (Rule 54)</t>
  </si>
  <si>
    <t>1.</t>
  </si>
  <si>
    <t>This worksheet is provided to assist the producer to quote an estimated premium and should not be considered the final premium until the policy, if written, is issued by the servicing carrier. The accuracy depends on the information loaded herein. Please refer to the rating rules, factors, and premiums included in the Kentucky Automobile Insurance Plan manual. The rules are identified above each category.</t>
  </si>
  <si>
    <t>2.</t>
  </si>
  <si>
    <t>Experience Rating Worksheet</t>
  </si>
  <si>
    <t xml:space="preserve">Please refer to the experience rating help sheet. </t>
  </si>
  <si>
    <t>Help Sheet</t>
  </si>
  <si>
    <t>Class</t>
  </si>
  <si>
    <t>All Other</t>
  </si>
  <si>
    <t>Latest Full 
Policy Year</t>
  </si>
  <si>
    <t>Second Latest Full 
Policy Year</t>
  </si>
  <si>
    <t>Third Latest Full 
Policy Year</t>
  </si>
  <si>
    <t>BI and PD</t>
  </si>
  <si>
    <t xml:space="preserve">a. Enter Current Annual Manual $100,000 CSL Premium </t>
  </si>
  <si>
    <t>b. Detrend Factors</t>
  </si>
  <si>
    <t>c. Detrended Premium (a x b)</t>
  </si>
  <si>
    <t>d. Adjusted Expected Loss Ratio</t>
  </si>
  <si>
    <t>e. Expected Losses (c x d)</t>
  </si>
  <si>
    <t>f.  Loss Development Factor</t>
  </si>
  <si>
    <t>g. Expected Ultimate Losses (e x f)</t>
  </si>
  <si>
    <r>
      <t>h. Enter Losses (Paid, Outstanding, and Allocated Claim Expense)</t>
    </r>
    <r>
      <rPr>
        <b/>
        <vertAlign val="superscript"/>
        <sz val="10"/>
        <color indexed="8"/>
        <rFont val="Arial"/>
        <family val="2"/>
      </rPr>
      <t>*</t>
    </r>
  </si>
  <si>
    <t>i. Total Adjusted Losses (g + h)</t>
  </si>
  <si>
    <t>Maximum Single Loss</t>
  </si>
  <si>
    <t>*For any one occurrence, limit the indemnity amount to $100,000 CSL; and limit the sum of the indemnity and allocated claim expense to the maximum single loss.</t>
  </si>
  <si>
    <t>Total</t>
  </si>
  <si>
    <t>(1) Detrended Premium BI and PD (from c)</t>
  </si>
  <si>
    <t>(2) Total Adjusted Losses BI and PD (from i)</t>
  </si>
  <si>
    <r>
      <t xml:space="preserve">(3) Actual Loss Ratio (2) </t>
    </r>
    <r>
      <rPr>
        <sz val="9"/>
        <color indexed="8"/>
        <rFont val="Calibri"/>
        <family val="2"/>
      </rPr>
      <t>÷</t>
    </r>
    <r>
      <rPr>
        <sz val="9"/>
        <color indexed="8"/>
        <rFont val="Arial"/>
        <family val="2"/>
      </rPr>
      <t xml:space="preserve"> (1)</t>
    </r>
  </si>
  <si>
    <t>(4) Adjusted Expected Loss Ratio</t>
  </si>
  <si>
    <t>(6) Credibility Factor</t>
  </si>
  <si>
    <t>1.  This worksheet is provided to assist the producer to quote an estimated premium and should not be considered the final premium until the policy, if written, is issued by the servicing carrier. The accuracy depends on the information loaded herein. Please refer to Rule 54 of the Kentucky Automobile Insurance Plan manual and the help sheet for further information.</t>
  </si>
  <si>
    <t>2.  If there is a discrepancy between this worksheet and the manual, the manual takes precedence.</t>
  </si>
  <si>
    <t>Adjusted Expected Loss Factor</t>
  </si>
  <si>
    <t>Single</t>
  </si>
  <si>
    <t>Premium</t>
  </si>
  <si>
    <t>Credibility</t>
  </si>
  <si>
    <t>Zone Rated</t>
  </si>
  <si>
    <t>All Others</t>
  </si>
  <si>
    <t>Premium less than $15216</t>
  </si>
  <si>
    <t>Latest Full Policy Year</t>
  </si>
  <si>
    <t>Second Latest Full Policy Year</t>
  </si>
  <si>
    <t>Third Latest Full Policy Year</t>
  </si>
  <si>
    <t>Detrend Factors:</t>
  </si>
  <si>
    <t>LDF Factors</t>
  </si>
  <si>
    <t>Garage</t>
  </si>
  <si>
    <t>Gross Receipts Rating Worksheet</t>
  </si>
  <si>
    <t>(1)</t>
  </si>
  <si>
    <t xml:space="preserve">Total Manual Premium for Equipment Owned and Term-Leased (including nonowned and hired auto) 12 Months Prior to Effective Date: </t>
  </si>
  <si>
    <t>$</t>
  </si>
  <si>
    <t>(2)</t>
  </si>
  <si>
    <t xml:space="preserve">Total Number of Power Units Owned and Term-Leased 12 Months Prior to Effective Date: </t>
  </si>
  <si>
    <t>(3)</t>
  </si>
  <si>
    <t xml:space="preserve">Total Manual Premium for Equipment Owned and Term-Leased (including nonowned and hired auto) 3 Months Prior to Effective Date: </t>
  </si>
  <si>
    <t>(4)</t>
  </si>
  <si>
    <t xml:space="preserve">Total Number of Power Units Owned and Term-Leased 3 Months Prior to Effective Date: </t>
  </si>
  <si>
    <t>(5)</t>
  </si>
  <si>
    <r>
      <t xml:space="preserve">Average Specified Auto Premium [{(1) </t>
    </r>
    <r>
      <rPr>
        <sz val="9"/>
        <color indexed="8"/>
        <rFont val="Symbol"/>
        <family val="1"/>
        <charset val="2"/>
      </rPr>
      <t>¸</t>
    </r>
    <r>
      <rPr>
        <sz val="9"/>
        <color indexed="8"/>
        <rFont val="Arial"/>
        <family val="2"/>
      </rPr>
      <t xml:space="preserve"> (2) + (3) </t>
    </r>
    <r>
      <rPr>
        <sz val="9"/>
        <color indexed="8"/>
        <rFont val="Symbol"/>
        <family val="1"/>
        <charset val="2"/>
      </rPr>
      <t>¸</t>
    </r>
    <r>
      <rPr>
        <sz val="9"/>
        <color indexed="8"/>
        <rFont val="Arial"/>
        <family val="2"/>
      </rPr>
      <t xml:space="preserve"> (4)} </t>
    </r>
    <r>
      <rPr>
        <sz val="9"/>
        <color indexed="8"/>
        <rFont val="Symbol"/>
        <family val="1"/>
        <charset val="2"/>
      </rPr>
      <t>¸</t>
    </r>
    <r>
      <rPr>
        <sz val="9"/>
        <color indexed="8"/>
        <rFont val="Arial"/>
        <family val="2"/>
      </rPr>
      <t xml:space="preserve"> 2]: </t>
    </r>
  </si>
  <si>
    <t>(6)</t>
  </si>
  <si>
    <r>
      <t xml:space="preserve">Estimated Premium [{(1) + (3)} </t>
    </r>
    <r>
      <rPr>
        <sz val="9"/>
        <color indexed="8"/>
        <rFont val="Symbol"/>
        <family val="1"/>
        <charset val="2"/>
      </rPr>
      <t>¸</t>
    </r>
    <r>
      <rPr>
        <sz val="9"/>
        <color indexed="8"/>
        <rFont val="Arial"/>
        <family val="2"/>
      </rPr>
      <t xml:space="preserve"> 2]: </t>
    </r>
  </si>
  <si>
    <t>(7)</t>
  </si>
  <si>
    <t xml:space="preserve">Actual Gross Receipts for 12 Months ending 3 Months Prior to Effective Date: </t>
  </si>
  <si>
    <t>(8)</t>
  </si>
  <si>
    <r>
      <t xml:space="preserve">Gross Receipts Rate [{(6) </t>
    </r>
    <r>
      <rPr>
        <sz val="9"/>
        <color indexed="8"/>
        <rFont val="Symbol"/>
        <family val="1"/>
        <charset val="2"/>
      </rPr>
      <t>¸</t>
    </r>
    <r>
      <rPr>
        <sz val="9"/>
        <color indexed="8"/>
        <rFont val="Arial"/>
        <family val="2"/>
      </rPr>
      <t xml:space="preserve"> (7)} X 100]: </t>
    </r>
  </si>
  <si>
    <t>(9)</t>
  </si>
  <si>
    <t xml:space="preserve">Estimated Gross Receipts for Policy Period: </t>
  </si>
  <si>
    <t>(10)</t>
  </si>
  <si>
    <r>
      <t xml:space="preserve">Estimated Liability Premium [{(9) </t>
    </r>
    <r>
      <rPr>
        <sz val="9"/>
        <color indexed="8"/>
        <rFont val="Symbol"/>
        <family val="1"/>
        <charset val="2"/>
      </rPr>
      <t>¸</t>
    </r>
    <r>
      <rPr>
        <sz val="9"/>
        <color indexed="8"/>
        <rFont val="Arial"/>
        <family val="2"/>
      </rPr>
      <t xml:space="preserve"> 100} X (8)]: </t>
    </r>
  </si>
  <si>
    <t>(11)</t>
  </si>
  <si>
    <t xml:space="preserve">Minimum Premium [{.20 X (6)} or {3 X (5)} whichever is greater]: </t>
  </si>
  <si>
    <t>The premium for trucks, tractors, and trailers that are rented to any person or organization engaged in the business of transporting property for hire under long term contracts is to be developed at .15 of the rates that otherwise apply during the period of rental, provided the autos are identified and so designated.</t>
  </si>
  <si>
    <t>This worksheet is provided to assist the producer to quote an estimated premium and should not be considered the final premium until the policy, if written, is issued by the servicing carrier. The accuracy depends on the information loaded herein. Please refer to the rating rules, factors, and premiums included in the Kentucky Automobile Insurance Plan manual.</t>
  </si>
  <si>
    <t>Auto Dealer Rating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</si>
</sst>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00"/>
    <numFmt numFmtId="165" formatCode="0.000"/>
    <numFmt numFmtId="166" formatCode="&quot;$&quot;#,##0"/>
  </numFmts>
  <fonts count="24" x14ac:knownFonts="1">
    <font>
      <sz val="11"/>
      <color theme="1"/>
      <name val="Calibri"/>
      <family val="2"/>
      <scheme val="minor"/>
    </font>
    <font>
      <b/>
      <sz val="8"/>
      <color indexed="81"/>
      <name val="Tahoma"/>
      <family val="2"/>
    </font>
    <font>
      <sz val="9"/>
      <color indexed="8"/>
      <name val="Arial"/>
      <family val="2"/>
    </font>
    <font>
      <b/>
      <sz val="9"/>
      <color indexed="8"/>
      <name val="Arial"/>
      <family val="2"/>
    </font>
    <font>
      <sz val="9"/>
      <color indexed="8"/>
      <name val="Symbol"/>
      <family val="1"/>
      <charset val="2"/>
    </font>
    <font>
      <b/>
      <vertAlign val="superscript"/>
      <sz val="10"/>
      <color indexed="8"/>
      <name val="Arial"/>
      <family val="2"/>
    </font>
    <font>
      <b/>
      <sz val="9"/>
      <color indexed="81"/>
      <name val="Tahoma"/>
      <family val="2"/>
    </font>
    <font>
      <sz val="9"/>
      <name val="Arial"/>
      <family val="2"/>
    </font>
    <font>
      <b/>
      <sz val="10"/>
      <name val="Arial"/>
      <family val="2"/>
    </font>
    <font>
      <sz val="9"/>
      <color indexed="8"/>
      <name val="Calibri"/>
      <family val="2"/>
    </font>
    <font>
      <u/>
      <sz val="11"/>
      <color theme="10"/>
      <name val="Calibri"/>
      <family val="2"/>
    </font>
    <font>
      <b/>
      <sz val="11"/>
      <color theme="1"/>
      <name val="Calibri"/>
      <family val="2"/>
      <scheme val="minor"/>
    </font>
    <font>
      <sz val="9"/>
      <color theme="1"/>
      <name val="Arial"/>
      <family val="2"/>
    </font>
    <font>
      <b/>
      <sz val="9"/>
      <color theme="1"/>
      <name val="Arial"/>
      <family val="2"/>
    </font>
    <font>
      <b/>
      <sz val="10"/>
      <color theme="1"/>
      <name val="Arial"/>
      <family val="2"/>
    </font>
    <font>
      <u/>
      <sz val="9"/>
      <color theme="1"/>
      <name val="Arial"/>
      <family val="2"/>
    </font>
    <font>
      <sz val="10"/>
      <color theme="1"/>
      <name val="Arial"/>
      <family val="2"/>
    </font>
    <font>
      <sz val="28"/>
      <color theme="1"/>
      <name val="Arial"/>
      <family val="2"/>
    </font>
    <font>
      <b/>
      <sz val="11"/>
      <color rgb="FF000000"/>
      <name val="Calibri"/>
      <family val="2"/>
      <scheme val="minor"/>
    </font>
    <font>
      <sz val="13"/>
      <color theme="1"/>
      <name val="Calibri"/>
      <family val="2"/>
      <scheme val="minor"/>
    </font>
    <font>
      <b/>
      <sz val="11"/>
      <color theme="1"/>
      <name val="Arial"/>
      <family val="2"/>
    </font>
    <font>
      <b/>
      <sz val="11"/>
      <color rgb="FFFF0000"/>
      <name val="Arial"/>
      <family val="2"/>
    </font>
    <font>
      <b/>
      <sz val="13"/>
      <color theme="1"/>
      <name val="Arial"/>
      <family val="2"/>
    </font>
    <font>
      <sz val="9"/>
      <color theme="1"/>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theme="0" tint="-0.34998626667073579"/>
        <bgColor rgb="FF000000"/>
      </patternFill>
    </fill>
    <fill>
      <patternFill patternType="solid">
        <fgColor theme="6" tint="0.59999389629810485"/>
        <bgColor theme="0"/>
      </patternFill>
    </fill>
    <fill>
      <patternFill patternType="solid">
        <fgColor theme="6" tint="0.59996337778862885"/>
        <bgColor indexed="64"/>
      </patternFill>
    </fill>
    <fill>
      <patternFill patternType="solid">
        <fgColor theme="0"/>
        <bgColor indexed="64"/>
      </patternFill>
    </fill>
    <fill>
      <patternFill patternType="solid">
        <fgColor theme="0"/>
        <bgColor theme="0"/>
      </patternFill>
    </fill>
    <fill>
      <patternFill patternType="solid">
        <fgColor theme="6" tint="0.3999450666829432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FFFFFF"/>
      </left>
      <right/>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221">
    <xf numFmtId="0" fontId="0" fillId="0" borderId="0" xfId="0"/>
    <xf numFmtId="0" fontId="12" fillId="0" borderId="0" xfId="0" applyFont="1" applyAlignment="1">
      <alignment horizontal="center" vertical="top" wrapText="1"/>
    </xf>
    <xf numFmtId="3" fontId="13" fillId="0" borderId="0" xfId="0" applyNumberFormat="1" applyFont="1" applyAlignment="1">
      <alignment horizontal="left"/>
    </xf>
    <xf numFmtId="2" fontId="13" fillId="0" borderId="0" xfId="0" applyNumberFormat="1" applyFont="1" applyAlignment="1">
      <alignment horizontal="justify"/>
    </xf>
    <xf numFmtId="2" fontId="13" fillId="0" borderId="0" xfId="0" applyNumberFormat="1" applyFont="1" applyAlignment="1">
      <alignment horizontal="center" wrapText="1"/>
    </xf>
    <xf numFmtId="165" fontId="14" fillId="0" borderId="0" xfId="0" applyNumberFormat="1" applyFont="1" applyAlignment="1">
      <alignment horizontal="center" wrapText="1"/>
    </xf>
    <xf numFmtId="3" fontId="14" fillId="0" borderId="0" xfId="0" applyNumberFormat="1" applyFont="1" applyAlignment="1">
      <alignment horizontal="center" wrapText="1"/>
    </xf>
    <xf numFmtId="3" fontId="12" fillId="0" borderId="0" xfId="0" applyNumberFormat="1" applyFont="1" applyAlignment="1">
      <alignment horizontal="right" vertical="top"/>
    </xf>
    <xf numFmtId="2" fontId="12" fillId="0" borderId="0" xfId="0" applyNumberFormat="1" applyFont="1" applyAlignment="1">
      <alignment horizontal="center" vertical="top"/>
    </xf>
    <xf numFmtId="165" fontId="12" fillId="0" borderId="0" xfId="0" applyNumberFormat="1" applyFont="1" applyAlignment="1">
      <alignment horizontal="center" vertical="top"/>
    </xf>
    <xf numFmtId="3" fontId="0" fillId="0" borderId="0" xfId="0" applyNumberFormat="1"/>
    <xf numFmtId="2" fontId="0" fillId="0" borderId="0" xfId="0" applyNumberFormat="1"/>
    <xf numFmtId="165" fontId="0" fillId="0" borderId="0" xfId="0" applyNumberFormat="1"/>
    <xf numFmtId="0" fontId="12" fillId="0" borderId="0" xfId="0" applyFont="1" applyAlignment="1">
      <alignment horizontal="right" wrapText="1"/>
    </xf>
    <xf numFmtId="0" fontId="0" fillId="0" borderId="0" xfId="0" applyAlignment="1">
      <alignment vertical="center"/>
    </xf>
    <xf numFmtId="0" fontId="12" fillId="0" borderId="0" xfId="0" applyFont="1" applyAlignment="1">
      <alignment wrapText="1"/>
    </xf>
    <xf numFmtId="3" fontId="12"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justify" wrapText="1"/>
    </xf>
    <xf numFmtId="3" fontId="12" fillId="0" borderId="0" xfId="0" applyNumberFormat="1" applyFont="1" applyAlignment="1">
      <alignment horizontal="center" vertical="center" wrapText="1"/>
    </xf>
    <xf numFmtId="0" fontId="13" fillId="0" borderId="0" xfId="0" applyFont="1"/>
    <xf numFmtId="0" fontId="0" fillId="0" borderId="0" xfId="0" applyAlignment="1">
      <alignment horizontal="justify" wrapText="1"/>
    </xf>
    <xf numFmtId="0" fontId="12" fillId="0" borderId="0" xfId="0" applyFont="1" applyAlignment="1">
      <alignment horizontal="left" wrapText="1"/>
    </xf>
    <xf numFmtId="3" fontId="12" fillId="2" borderId="2" xfId="0" applyNumberFormat="1" applyFont="1" applyFill="1" applyBorder="1" applyAlignment="1" applyProtection="1">
      <alignment horizontal="center" vertical="center" wrapText="1"/>
      <protection locked="0"/>
    </xf>
    <xf numFmtId="1" fontId="12" fillId="2" borderId="3" xfId="0" applyNumberFormat="1" applyFont="1" applyFill="1" applyBorder="1" applyAlignment="1" applyProtection="1">
      <alignment horizontal="center" vertical="center" wrapText="1"/>
      <protection locked="0"/>
    </xf>
    <xf numFmtId="2" fontId="12" fillId="2" borderId="2" xfId="0" applyNumberFormat="1" applyFont="1" applyFill="1" applyBorder="1" applyAlignment="1" applyProtection="1">
      <alignment horizontal="center" vertical="center" wrapText="1"/>
      <protection locked="0"/>
    </xf>
    <xf numFmtId="0" fontId="12" fillId="3" borderId="3" xfId="0" applyFont="1" applyFill="1" applyBorder="1" applyAlignment="1">
      <alignment horizontal="center" vertical="center" wrapText="1"/>
    </xf>
    <xf numFmtId="2" fontId="12" fillId="2" borderId="3" xfId="0" applyNumberFormat="1" applyFont="1" applyFill="1" applyBorder="1" applyAlignment="1" applyProtection="1">
      <alignment horizontal="center" vertical="center" wrapText="1"/>
      <protection locked="0"/>
    </xf>
    <xf numFmtId="3" fontId="12" fillId="0" borderId="2" xfId="0" applyNumberFormat="1" applyFont="1" applyBorder="1" applyAlignment="1">
      <alignment horizontal="center" vertical="center" wrapText="1"/>
    </xf>
    <xf numFmtId="1" fontId="12" fillId="0" borderId="3" xfId="0" applyNumberFormat="1" applyFont="1" applyBorder="1" applyAlignment="1">
      <alignment horizontal="center" vertical="center" wrapText="1"/>
    </xf>
    <xf numFmtId="0" fontId="0" fillId="0" borderId="0" xfId="0" applyAlignment="1">
      <alignment horizontal="justify" vertical="center" wrapText="1"/>
    </xf>
    <xf numFmtId="0" fontId="12" fillId="0" borderId="0" xfId="0" applyFont="1" applyAlignment="1">
      <alignment vertical="center" wrapText="1"/>
    </xf>
    <xf numFmtId="0" fontId="12" fillId="3" borderId="2" xfId="0" applyFont="1" applyFill="1" applyBorder="1" applyAlignment="1">
      <alignment horizontal="center" vertical="center" wrapText="1"/>
    </xf>
    <xf numFmtId="2" fontId="12" fillId="4" borderId="3" xfId="0" applyNumberFormat="1" applyFont="1" applyFill="1" applyBorder="1" applyAlignment="1" applyProtection="1">
      <alignment horizontal="center" vertical="center" wrapText="1"/>
      <protection locked="0"/>
    </xf>
    <xf numFmtId="0" fontId="13" fillId="0" borderId="0" xfId="0" applyFont="1" applyAlignment="1">
      <alignment horizontal="center" wrapText="1"/>
    </xf>
    <xf numFmtId="0" fontId="12" fillId="0" borderId="0" xfId="0" applyFont="1" applyAlignment="1">
      <alignment horizontal="center" wrapText="1"/>
    </xf>
    <xf numFmtId="0" fontId="0" fillId="5" borderId="2" xfId="0" applyFill="1" applyBorder="1" applyAlignment="1" applyProtection="1">
      <alignment horizontal="center"/>
      <protection locked="0"/>
    </xf>
    <xf numFmtId="2" fontId="12" fillId="0" borderId="1" xfId="0" applyNumberFormat="1" applyFont="1" applyBorder="1" applyAlignment="1">
      <alignment horizontal="center" wrapText="1"/>
    </xf>
    <xf numFmtId="0" fontId="12" fillId="0" borderId="0" xfId="0" applyFont="1" applyAlignment="1">
      <alignment horizontal="left" vertical="center" wrapText="1"/>
    </xf>
    <xf numFmtId="2" fontId="0" fillId="0" borderId="0" xfId="0" applyNumberFormat="1" applyAlignment="1">
      <alignment horizontal="center"/>
    </xf>
    <xf numFmtId="2" fontId="12" fillId="0" borderId="0" xfId="0" applyNumberFormat="1" applyFont="1" applyAlignment="1">
      <alignment horizontal="center" vertical="center" wrapText="1"/>
    </xf>
    <xf numFmtId="0" fontId="0" fillId="0" borderId="0" xfId="0" applyAlignment="1">
      <alignment horizontal="left"/>
    </xf>
    <xf numFmtId="49" fontId="13" fillId="5" borderId="0" xfId="0" applyNumberFormat="1" applyFont="1" applyFill="1" applyAlignment="1" applyProtection="1">
      <alignment horizontal="center" wrapText="1"/>
      <protection locked="0"/>
    </xf>
    <xf numFmtId="2" fontId="0" fillId="0" borderId="0" xfId="0" applyNumberFormat="1" applyAlignment="1">
      <alignment horizontal="left"/>
    </xf>
    <xf numFmtId="0" fontId="0" fillId="0" borderId="0" xfId="0" applyAlignment="1">
      <alignment horizontal="center"/>
    </xf>
    <xf numFmtId="0" fontId="11" fillId="0" borderId="0" xfId="0" applyFont="1" applyAlignment="1">
      <alignment horizontal="center"/>
    </xf>
    <xf numFmtId="0" fontId="12" fillId="0" borderId="0" xfId="0" applyFont="1" applyAlignment="1">
      <alignment horizontal="left" vertical="top" wrapText="1"/>
    </xf>
    <xf numFmtId="0" fontId="0" fillId="0" borderId="0" xfId="0" quotePrefix="1"/>
    <xf numFmtId="2" fontId="12" fillId="0" borderId="0" xfId="0" applyNumberFormat="1" applyFont="1" applyAlignment="1">
      <alignment horizontal="center" wrapText="1"/>
    </xf>
    <xf numFmtId="0" fontId="14" fillId="0" borderId="0" xfId="0" applyFont="1" applyAlignment="1">
      <alignment horizontal="left" wrapText="1"/>
    </xf>
    <xf numFmtId="0" fontId="0" fillId="0" borderId="0" xfId="0" quotePrefix="1" applyAlignment="1">
      <alignment horizontal="right"/>
    </xf>
    <xf numFmtId="2" fontId="7" fillId="0" borderId="0" xfId="0" applyNumberFormat="1" applyFont="1" applyAlignment="1">
      <alignment horizontal="center" wrapText="1"/>
    </xf>
    <xf numFmtId="1" fontId="12" fillId="0" borderId="0" xfId="0" applyNumberFormat="1" applyFont="1" applyAlignment="1">
      <alignment horizontal="left" wrapText="1"/>
    </xf>
    <xf numFmtId="2" fontId="12" fillId="0" borderId="0" xfId="0" applyNumberFormat="1" applyFont="1" applyAlignment="1">
      <alignment horizontal="left" wrapText="1"/>
    </xf>
    <xf numFmtId="0" fontId="0" fillId="0" borderId="0" xfId="0" applyAlignment="1">
      <alignment horizontal="left" indent="5"/>
    </xf>
    <xf numFmtId="2" fontId="12" fillId="6" borderId="3" xfId="0" applyNumberFormat="1" applyFont="1" applyFill="1" applyBorder="1" applyAlignment="1">
      <alignment horizontal="center" wrapText="1"/>
    </xf>
    <xf numFmtId="0" fontId="15" fillId="0" borderId="0" xfId="0" applyFont="1" applyAlignment="1">
      <alignment wrapText="1"/>
    </xf>
    <xf numFmtId="0" fontId="12" fillId="0" borderId="0" xfId="0" applyFont="1" applyAlignment="1">
      <alignment horizontal="left" vertical="center" wrapText="1" indent="1"/>
    </xf>
    <xf numFmtId="0" fontId="12" fillId="0" borderId="2" xfId="0" applyFont="1" applyBorder="1" applyAlignment="1">
      <alignment wrapText="1"/>
    </xf>
    <xf numFmtId="2" fontId="12" fillId="0" borderId="3" xfId="0" applyNumberFormat="1" applyFont="1" applyBorder="1" applyAlignment="1">
      <alignment horizontal="left" wrapText="1"/>
    </xf>
    <xf numFmtId="0" fontId="0" fillId="0" borderId="0" xfId="0" applyAlignment="1">
      <alignment vertical="top" wrapText="1"/>
    </xf>
    <xf numFmtId="2" fontId="12" fillId="6" borderId="2" xfId="0" applyNumberFormat="1" applyFont="1" applyFill="1" applyBorder="1" applyAlignment="1">
      <alignment horizontal="center" vertical="center" wrapText="1"/>
    </xf>
    <xf numFmtId="1" fontId="12" fillId="7" borderId="3" xfId="0" applyNumberFormat="1" applyFont="1" applyFill="1" applyBorder="1" applyAlignment="1">
      <alignment horizontal="center" vertical="center" wrapText="1"/>
    </xf>
    <xf numFmtId="0" fontId="8" fillId="8" borderId="4" xfId="0" applyFont="1" applyFill="1" applyBorder="1" applyProtection="1">
      <protection locked="0"/>
    </xf>
    <xf numFmtId="49" fontId="12" fillId="0" borderId="0" xfId="0" applyNumberFormat="1" applyFont="1" applyAlignment="1">
      <alignment horizontal="center" wrapText="1"/>
    </xf>
    <xf numFmtId="49" fontId="12" fillId="0" borderId="0" xfId="0" applyNumberFormat="1" applyFont="1" applyAlignment="1">
      <alignment horizontal="center" vertical="center" wrapText="1"/>
    </xf>
    <xf numFmtId="49" fontId="12" fillId="0" borderId="0" xfId="0" applyNumberFormat="1" applyFont="1" applyAlignment="1">
      <alignment horizontal="center" vertical="top" wrapText="1"/>
    </xf>
    <xf numFmtId="0" fontId="12" fillId="0" borderId="0" xfId="0" applyFont="1"/>
    <xf numFmtId="0" fontId="16" fillId="0" borderId="0" xfId="0" applyFont="1" applyAlignment="1">
      <alignment vertical="top" wrapText="1"/>
    </xf>
    <xf numFmtId="0" fontId="12" fillId="0" borderId="0" xfId="0" applyFont="1" applyAlignment="1">
      <alignment horizontal="left"/>
    </xf>
    <xf numFmtId="0" fontId="12" fillId="0" borderId="0" xfId="0" applyFont="1" applyAlignment="1">
      <alignment horizontal="left" vertical="top"/>
    </xf>
    <xf numFmtId="0" fontId="14" fillId="0" borderId="5" xfId="0" applyFont="1" applyBorder="1"/>
    <xf numFmtId="0" fontId="12" fillId="0" borderId="0" xfId="0" applyFont="1" applyAlignment="1">
      <alignment horizontal="justify" vertical="top"/>
    </xf>
    <xf numFmtId="0" fontId="13" fillId="0" borderId="0" xfId="0" applyFont="1" applyAlignment="1">
      <alignment horizontal="center"/>
    </xf>
    <xf numFmtId="0" fontId="12" fillId="0" borderId="0" xfId="0" applyFont="1" applyAlignment="1">
      <alignment horizontal="justify"/>
    </xf>
    <xf numFmtId="6" fontId="12" fillId="0" borderId="0" xfId="0" applyNumberFormat="1" applyFont="1" applyAlignment="1">
      <alignment horizontal="center"/>
    </xf>
    <xf numFmtId="165" fontId="12" fillId="0" borderId="1" xfId="0" applyNumberFormat="1" applyFont="1" applyBorder="1" applyAlignment="1">
      <alignment horizontal="right" vertical="center"/>
    </xf>
    <xf numFmtId="0" fontId="13" fillId="0" borderId="0" xfId="0" applyFont="1" applyAlignment="1">
      <alignment horizontal="left"/>
    </xf>
    <xf numFmtId="2" fontId="0" fillId="0" borderId="2" xfId="0" applyNumberFormat="1" applyBorder="1" applyAlignment="1">
      <alignment horizontal="center"/>
    </xf>
    <xf numFmtId="2" fontId="0" fillId="0" borderId="6" xfId="0" applyNumberFormat="1" applyBorder="1" applyAlignment="1">
      <alignment horizontal="center"/>
    </xf>
    <xf numFmtId="2" fontId="0" fillId="2" borderId="2" xfId="0" applyNumberFormat="1" applyFill="1" applyBorder="1" applyProtection="1">
      <protection locked="0"/>
    </xf>
    <xf numFmtId="2" fontId="0" fillId="2" borderId="3" xfId="0" applyNumberFormat="1" applyFill="1" applyBorder="1" applyProtection="1">
      <protection locked="0"/>
    </xf>
    <xf numFmtId="2" fontId="0" fillId="0" borderId="6" xfId="0" applyNumberFormat="1" applyBorder="1"/>
    <xf numFmtId="2" fontId="17" fillId="0" borderId="0" xfId="0" applyNumberFormat="1" applyFont="1" applyAlignment="1">
      <alignment horizontal="left" wrapText="1"/>
    </xf>
    <xf numFmtId="0" fontId="13" fillId="0" borderId="0" xfId="0" applyFont="1" applyAlignment="1">
      <alignment horizontal="left" vertical="center"/>
    </xf>
    <xf numFmtId="0" fontId="0" fillId="0" borderId="0" xfId="0" applyAlignment="1">
      <alignment horizontal="left" vertical="center"/>
    </xf>
    <xf numFmtId="3" fontId="12" fillId="2" borderId="3" xfId="0" applyNumberFormat="1" applyFont="1" applyFill="1" applyBorder="1" applyAlignment="1" applyProtection="1">
      <alignment horizontal="center" vertical="center" wrapText="1"/>
      <protection locked="0"/>
    </xf>
    <xf numFmtId="3" fontId="12" fillId="0" borderId="3" xfId="0" applyNumberFormat="1" applyFont="1" applyBorder="1" applyAlignment="1">
      <alignment horizontal="center" vertical="center" wrapText="1"/>
    </xf>
    <xf numFmtId="0" fontId="0" fillId="0" borderId="0" xfId="0" applyAlignment="1" applyProtection="1">
      <alignment horizontal="center"/>
      <protection locked="0"/>
    </xf>
    <xf numFmtId="0" fontId="0" fillId="0" borderId="0" xfId="0" applyAlignment="1">
      <alignment wrapText="1"/>
    </xf>
    <xf numFmtId="1" fontId="0" fillId="0" borderId="0" xfId="0" applyNumberFormat="1"/>
    <xf numFmtId="2" fontId="12" fillId="2" borderId="3" xfId="0" applyNumberFormat="1" applyFont="1" applyFill="1" applyBorder="1" applyAlignment="1">
      <alignment horizontal="center" vertical="center" wrapText="1"/>
    </xf>
    <xf numFmtId="2" fontId="12" fillId="0" borderId="3" xfId="0" applyNumberFormat="1" applyFont="1" applyBorder="1" applyAlignment="1">
      <alignment horizontal="center" vertical="center" wrapText="1"/>
    </xf>
    <xf numFmtId="0" fontId="11" fillId="0" borderId="0" xfId="0" applyFont="1" applyAlignment="1">
      <alignment horizontal="justify" wrapText="1"/>
    </xf>
    <xf numFmtId="0" fontId="11" fillId="0" borderId="0" xfId="0" applyFont="1"/>
    <xf numFmtId="0" fontId="12" fillId="0" borderId="0" xfId="0" applyFont="1" applyAlignment="1">
      <alignment horizontal="justify" vertical="top" wrapText="1"/>
    </xf>
    <xf numFmtId="0" fontId="12" fillId="0" borderId="3" xfId="0" applyFont="1" applyBorder="1" applyAlignment="1">
      <alignment horizontal="center" vertical="center" wrapText="1"/>
    </xf>
    <xf numFmtId="0" fontId="12" fillId="5" borderId="2" xfId="0" applyFont="1" applyFill="1" applyBorder="1" applyAlignment="1">
      <alignment horizontal="center" vertical="center" wrapText="1"/>
    </xf>
    <xf numFmtId="3" fontId="0" fillId="0" borderId="0" xfId="0" applyNumberFormat="1" applyAlignment="1">
      <alignment horizontal="center" vertical="center"/>
    </xf>
    <xf numFmtId="3" fontId="0" fillId="5" borderId="3" xfId="0" applyNumberFormat="1" applyFill="1" applyBorder="1" applyAlignment="1" applyProtection="1">
      <alignment vertical="center"/>
      <protection locked="0"/>
    </xf>
    <xf numFmtId="3" fontId="0" fillId="5" borderId="3" xfId="0" applyNumberFormat="1" applyFill="1" applyBorder="1" applyProtection="1">
      <protection locked="0"/>
    </xf>
    <xf numFmtId="3" fontId="0" fillId="0" borderId="3" xfId="0" applyNumberFormat="1" applyBorder="1"/>
    <xf numFmtId="3" fontId="0" fillId="5" borderId="2" xfId="0" applyNumberFormat="1" applyFill="1" applyBorder="1" applyProtection="1">
      <protection locked="0"/>
    </xf>
    <xf numFmtId="4" fontId="0" fillId="0" borderId="3" xfId="0" applyNumberFormat="1" applyBorder="1"/>
    <xf numFmtId="165" fontId="12" fillId="0" borderId="1" xfId="0" quotePrefix="1" applyNumberFormat="1" applyFont="1" applyBorder="1" applyAlignment="1">
      <alignment horizontal="right" vertical="center"/>
    </xf>
    <xf numFmtId="0" fontId="12" fillId="0" borderId="0" xfId="0" quotePrefix="1" applyFont="1" applyAlignment="1">
      <alignment horizontal="justify" vertical="top"/>
    </xf>
    <xf numFmtId="0" fontId="13" fillId="0" borderId="0" xfId="0" applyFont="1" applyAlignment="1">
      <alignment horizontal="justify" vertical="top"/>
    </xf>
    <xf numFmtId="0" fontId="18" fillId="0" borderId="0" xfId="0" applyFont="1" applyAlignment="1">
      <alignment horizontal="center"/>
    </xf>
    <xf numFmtId="0" fontId="0" fillId="0" borderId="0" xfId="0" applyProtection="1">
      <protection locked="0"/>
    </xf>
    <xf numFmtId="0" fontId="16" fillId="0" borderId="7" xfId="0" quotePrefix="1" applyFont="1" applyBorder="1" applyAlignment="1">
      <alignment horizontal="left" vertical="top" wrapText="1"/>
    </xf>
    <xf numFmtId="0" fontId="13" fillId="0" borderId="0" xfId="0" quotePrefix="1" applyFont="1" applyAlignment="1">
      <alignment horizontal="left"/>
    </xf>
    <xf numFmtId="0" fontId="14" fillId="0" borderId="0" xfId="0" quotePrefix="1" applyFont="1" applyAlignment="1">
      <alignment horizontal="left"/>
    </xf>
    <xf numFmtId="0" fontId="16" fillId="0" borderId="0" xfId="0" applyFont="1" applyAlignment="1">
      <alignment wrapText="1"/>
    </xf>
    <xf numFmtId="0" fontId="16" fillId="0" borderId="0" xfId="0" applyFont="1"/>
    <xf numFmtId="0" fontId="14" fillId="0" borderId="0" xfId="0" applyFont="1"/>
    <xf numFmtId="0" fontId="13" fillId="0" borderId="0" xfId="0" applyFont="1" applyAlignment="1">
      <alignment vertical="top" wrapText="1"/>
    </xf>
    <xf numFmtId="0" fontId="0" fillId="0" borderId="2" xfId="0" applyBorder="1"/>
    <xf numFmtId="0" fontId="0" fillId="0" borderId="9" xfId="0" applyBorder="1"/>
    <xf numFmtId="0" fontId="0" fillId="0" borderId="7" xfId="0" quotePrefix="1" applyBorder="1" applyAlignment="1">
      <alignment horizontal="left"/>
    </xf>
    <xf numFmtId="0" fontId="16" fillId="0" borderId="0" xfId="0" quotePrefix="1" applyFont="1" applyAlignment="1">
      <alignment horizontal="left"/>
    </xf>
    <xf numFmtId="0" fontId="0" fillId="0" borderId="8" xfId="0" applyBorder="1" applyAlignment="1">
      <alignment wrapText="1"/>
    </xf>
    <xf numFmtId="0" fontId="16" fillId="0" borderId="10" xfId="0" quotePrefix="1" applyFont="1" applyBorder="1"/>
    <xf numFmtId="0" fontId="16" fillId="0" borderId="2" xfId="0" applyFont="1" applyBorder="1"/>
    <xf numFmtId="0" fontId="16" fillId="0" borderId="7" xfId="0" quotePrefix="1" applyFont="1" applyBorder="1" applyAlignment="1">
      <alignment vertical="top"/>
    </xf>
    <xf numFmtId="0" fontId="16" fillId="0" borderId="0" xfId="0" quotePrefix="1" applyFont="1" applyAlignment="1">
      <alignment horizontal="left" vertical="center" wrapText="1"/>
    </xf>
    <xf numFmtId="6" fontId="12" fillId="0" borderId="1" xfId="0" applyNumberFormat="1" applyFont="1" applyBorder="1" applyAlignment="1">
      <alignment horizontal="center" wrapText="1"/>
    </xf>
    <xf numFmtId="6" fontId="12" fillId="0" borderId="1" xfId="0" applyNumberFormat="1" applyFont="1" applyBorder="1" applyAlignment="1">
      <alignment horizontal="right" wrapText="1"/>
    </xf>
    <xf numFmtId="0" fontId="12" fillId="0" borderId="1" xfId="0" applyFont="1" applyBorder="1" applyAlignment="1">
      <alignment horizontal="right" wrapText="1"/>
    </xf>
    <xf numFmtId="2" fontId="7" fillId="0" borderId="1" xfId="0" applyNumberFormat="1" applyFont="1" applyBorder="1" applyAlignment="1">
      <alignment horizontal="right" vertical="top"/>
    </xf>
    <xf numFmtId="2" fontId="20" fillId="0" borderId="1" xfId="0" quotePrefix="1" applyNumberFormat="1" applyFont="1" applyBorder="1" applyAlignment="1">
      <alignment horizontal="right" vertical="center"/>
    </xf>
    <xf numFmtId="6" fontId="12" fillId="0" borderId="0" xfId="0" applyNumberFormat="1" applyFont="1" applyAlignment="1">
      <alignment horizontal="right" vertical="center"/>
    </xf>
    <xf numFmtId="166" fontId="7" fillId="2" borderId="1" xfId="0" applyNumberFormat="1" applyFont="1" applyFill="1" applyBorder="1" applyAlignment="1" applyProtection="1">
      <alignment horizontal="right" vertical="center"/>
      <protection locked="0"/>
    </xf>
    <xf numFmtId="166" fontId="12" fillId="0" borderId="1" xfId="0" applyNumberFormat="1" applyFont="1" applyBorder="1" applyAlignment="1">
      <alignment horizontal="right" vertical="center"/>
    </xf>
    <xf numFmtId="6" fontId="12" fillId="0" borderId="4" xfId="0" applyNumberFormat="1" applyFont="1" applyBorder="1" applyAlignment="1">
      <alignment horizontal="right" vertical="center"/>
    </xf>
    <xf numFmtId="0" fontId="11" fillId="0" borderId="0" xfId="0" applyFont="1" applyAlignment="1">
      <alignment horizontal="left"/>
    </xf>
    <xf numFmtId="0" fontId="11" fillId="0" borderId="0" xfId="0" applyFont="1" applyAlignment="1">
      <alignment horizontal="center" vertical="top" wrapText="1"/>
    </xf>
    <xf numFmtId="0" fontId="1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horizontal="center" wrapText="1"/>
    </xf>
    <xf numFmtId="165" fontId="12" fillId="0" borderId="1" xfId="0" applyNumberFormat="1" applyFont="1" applyBorder="1" applyAlignment="1">
      <alignment horizontal="right" vertical="top"/>
    </xf>
    <xf numFmtId="0" fontId="12" fillId="0" borderId="1" xfId="0" applyFont="1" applyBorder="1" applyAlignment="1">
      <alignment horizontal="center"/>
    </xf>
    <xf numFmtId="0" fontId="12" fillId="0" borderId="11" xfId="0" applyFont="1" applyBorder="1" applyAlignment="1">
      <alignment horizontal="center" vertical="center" wrapText="1"/>
    </xf>
    <xf numFmtId="0" fontId="0" fillId="0" borderId="5" xfId="0" applyBorder="1" applyAlignment="1">
      <alignment vertical="center"/>
    </xf>
    <xf numFmtId="0" fontId="0" fillId="0" borderId="4" xfId="0" applyBorder="1" applyAlignment="1">
      <alignment horizontal="center" vertical="center"/>
    </xf>
    <xf numFmtId="0" fontId="21" fillId="0" borderId="0" xfId="0" applyFont="1"/>
    <xf numFmtId="164" fontId="7" fillId="0" borderId="1" xfId="0" applyNumberFormat="1" applyFont="1" applyBorder="1" applyAlignment="1">
      <alignment horizontal="right" vertical="center"/>
    </xf>
    <xf numFmtId="166" fontId="12" fillId="5" borderId="1" xfId="0" applyNumberFormat="1" applyFont="1" applyFill="1" applyBorder="1" applyProtection="1">
      <protection locked="0"/>
    </xf>
    <xf numFmtId="166" fontId="12" fillId="0" borderId="1" xfId="0" applyNumberFormat="1" applyFont="1" applyBorder="1" applyAlignment="1">
      <alignment horizontal="center"/>
    </xf>
    <xf numFmtId="3" fontId="12" fillId="0" borderId="0" xfId="0" applyNumberFormat="1" applyFont="1" applyAlignment="1">
      <alignment horizontal="center" wrapText="1"/>
    </xf>
    <xf numFmtId="0" fontId="19" fillId="0" borderId="0" xfId="0" applyFont="1"/>
    <xf numFmtId="0" fontId="12" fillId="0" borderId="0" xfId="0" applyFont="1" applyAlignment="1">
      <alignment horizontal="justify" vertical="center" wrapText="1"/>
    </xf>
    <xf numFmtId="0" fontId="11" fillId="0" borderId="0" xfId="0" applyFont="1" applyAlignment="1">
      <alignment horizontal="center" wrapText="1"/>
    </xf>
    <xf numFmtId="0" fontId="3" fillId="0" borderId="0" xfId="0" applyFont="1" applyAlignment="1">
      <alignment horizontal="left" wrapText="1"/>
    </xf>
    <xf numFmtId="0" fontId="13" fillId="0" borderId="0" xfId="0" applyFont="1" applyAlignment="1">
      <alignment horizontal="left" vertical="top" wrapText="1"/>
    </xf>
    <xf numFmtId="0" fontId="13" fillId="0" borderId="0" xfId="0" applyFont="1" applyAlignment="1">
      <alignment horizontal="left" wrapText="1"/>
    </xf>
    <xf numFmtId="0" fontId="3" fillId="0" borderId="0" xfId="0" applyFont="1" applyAlignment="1">
      <alignment horizontal="right" wrapText="1"/>
    </xf>
    <xf numFmtId="0" fontId="13" fillId="0" borderId="0" xfId="0" applyFont="1" applyAlignment="1">
      <alignment horizontal="right" wrapText="1"/>
    </xf>
    <xf numFmtId="2" fontId="12" fillId="0" borderId="0" xfId="0" applyNumberFormat="1" applyFont="1" applyAlignment="1">
      <alignment wrapText="1"/>
    </xf>
    <xf numFmtId="0" fontId="0" fillId="0" borderId="8" xfId="0" applyBorder="1"/>
    <xf numFmtId="0" fontId="12" fillId="0" borderId="1" xfId="0" applyFont="1" applyBorder="1" applyAlignment="1">
      <alignment horizontal="center" vertical="center" wrapText="1"/>
    </xf>
    <xf numFmtId="165" fontId="13" fillId="0" borderId="0" xfId="0" applyNumberFormat="1" applyFont="1" applyAlignment="1">
      <alignment horizontal="center" wrapText="1"/>
    </xf>
    <xf numFmtId="3" fontId="13" fillId="0" borderId="0" xfId="0" applyNumberFormat="1" applyFont="1" applyAlignment="1">
      <alignment horizontal="center" wrapText="1"/>
    </xf>
    <xf numFmtId="0" fontId="13" fillId="0" borderId="0" xfId="0" applyFont="1" applyAlignment="1">
      <alignment horizontal="center" wrapText="1"/>
    </xf>
    <xf numFmtId="0" fontId="11" fillId="0" borderId="0" xfId="0" applyFont="1" applyAlignment="1">
      <alignment horizontal="center" wrapText="1"/>
    </xf>
    <xf numFmtId="0" fontId="14" fillId="0" borderId="11" xfId="0" quotePrefix="1" applyFont="1" applyBorder="1" applyAlignment="1">
      <alignment horizontal="center"/>
    </xf>
    <xf numFmtId="0" fontId="0" fillId="0" borderId="6" xfId="0" applyBorder="1"/>
    <xf numFmtId="0" fontId="0" fillId="0" borderId="12" xfId="0" applyBorder="1"/>
    <xf numFmtId="0" fontId="12" fillId="0" borderId="0" xfId="0" applyFont="1" applyAlignment="1">
      <alignment horizontal="justify" vertical="center" wrapText="1"/>
    </xf>
    <xf numFmtId="0" fontId="0" fillId="0" borderId="0" xfId="0"/>
    <xf numFmtId="0" fontId="0" fillId="0" borderId="0" xfId="0" applyAlignment="1">
      <alignment horizontal="justify" wrapText="1"/>
    </xf>
    <xf numFmtId="0" fontId="0" fillId="0" borderId="0" xfId="0" applyAlignment="1">
      <alignment wrapText="1"/>
    </xf>
    <xf numFmtId="0" fontId="14" fillId="0" borderId="0" xfId="0" applyFont="1"/>
    <xf numFmtId="0" fontId="22" fillId="0" borderId="0" xfId="0" quotePrefix="1" applyFont="1" applyAlignment="1">
      <alignment horizontal="center"/>
    </xf>
    <xf numFmtId="0" fontId="19" fillId="0" borderId="0" xfId="0" applyFont="1"/>
    <xf numFmtId="0" fontId="16" fillId="0" borderId="0" xfId="0" applyFont="1" applyAlignment="1">
      <alignment vertical="top" wrapText="1"/>
    </xf>
    <xf numFmtId="0" fontId="16" fillId="0" borderId="0" xfId="0" applyFont="1" applyAlignment="1">
      <alignment wrapText="1"/>
    </xf>
    <xf numFmtId="0" fontId="16" fillId="0" borderId="8" xfId="0" applyFont="1" applyBorder="1" applyAlignment="1">
      <alignment wrapText="1"/>
    </xf>
    <xf numFmtId="0" fontId="12" fillId="0" borderId="13" xfId="0" applyFont="1" applyBorder="1" applyAlignment="1">
      <alignment horizontal="justify" vertical="top" wrapText="1"/>
    </xf>
    <xf numFmtId="0" fontId="12" fillId="0" borderId="0" xfId="0" applyFont="1" applyAlignment="1">
      <alignment horizontal="justify" vertical="top" wrapText="1"/>
    </xf>
    <xf numFmtId="0" fontId="12" fillId="0" borderId="0" xfId="0" applyFont="1"/>
    <xf numFmtId="0" fontId="14" fillId="8" borderId="0" xfId="0" applyFont="1" applyFill="1" applyProtection="1">
      <protection locked="0"/>
    </xf>
    <xf numFmtId="0" fontId="13" fillId="0" borderId="0" xfId="0" applyFont="1" applyAlignment="1">
      <alignment horizontal="justify" wrapText="1"/>
    </xf>
    <xf numFmtId="0" fontId="12" fillId="0" borderId="0" xfId="0" applyFont="1" applyAlignment="1">
      <alignment horizontal="center" wrapText="1"/>
    </xf>
    <xf numFmtId="0" fontId="0" fillId="0" borderId="8" xfId="0" applyBorder="1" applyAlignment="1">
      <alignment wrapText="1"/>
    </xf>
    <xf numFmtId="0" fontId="16" fillId="0" borderId="0" xfId="0" quotePrefix="1" applyFont="1" applyAlignment="1">
      <alignment horizontal="left" vertical="top" wrapText="1"/>
    </xf>
    <xf numFmtId="0" fontId="0" fillId="0" borderId="8" xfId="0" applyBorder="1"/>
    <xf numFmtId="2" fontId="12" fillId="0" borderId="0" xfId="0" applyNumberFormat="1" applyFont="1" applyAlignment="1">
      <alignment wrapText="1"/>
    </xf>
    <xf numFmtId="0" fontId="12" fillId="2" borderId="2" xfId="0" applyFont="1" applyFill="1" applyBorder="1" applyAlignment="1" applyProtection="1">
      <alignment horizontal="left" wrapText="1"/>
      <protection locked="0"/>
    </xf>
    <xf numFmtId="0" fontId="12" fillId="2" borderId="3" xfId="0" applyFont="1" applyFill="1" applyBorder="1" applyAlignment="1" applyProtection="1">
      <alignment horizontal="left" wrapText="1"/>
      <protection locked="0"/>
    </xf>
    <xf numFmtId="0" fontId="0" fillId="2" borderId="3" xfId="0" applyFill="1" applyBorder="1" applyAlignment="1" applyProtection="1">
      <alignment wrapText="1"/>
      <protection locked="0"/>
    </xf>
    <xf numFmtId="0" fontId="0" fillId="0" borderId="2" xfId="0" applyBorder="1" applyAlignment="1">
      <alignment horizontal="left" wrapText="1"/>
    </xf>
    <xf numFmtId="0" fontId="12" fillId="0" borderId="6" xfId="0" applyFont="1" applyBorder="1" applyAlignment="1">
      <alignment horizontal="left" wrapText="1"/>
    </xf>
    <xf numFmtId="0" fontId="0" fillId="0" borderId="6" xfId="0" applyBorder="1" applyAlignment="1">
      <alignment horizontal="left" wrapText="1"/>
    </xf>
    <xf numFmtId="0" fontId="13" fillId="0" borderId="0" xfId="0" applyFont="1" applyAlignment="1">
      <alignment horizontal="left" wrapText="1"/>
    </xf>
    <xf numFmtId="0" fontId="23" fillId="0" borderId="0" xfId="0" applyFont="1"/>
    <xf numFmtId="0" fontId="3" fillId="0" borderId="0" xfId="0" applyFont="1" applyAlignment="1">
      <alignment horizontal="right" wrapText="1"/>
    </xf>
    <xf numFmtId="0" fontId="13" fillId="0" borderId="0" xfId="0" applyFont="1" applyAlignment="1">
      <alignment horizontal="right" wrapText="1"/>
    </xf>
    <xf numFmtId="0" fontId="1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0" xfId="0" applyAlignment="1">
      <alignment horizontal="justify" vertical="center" wrapText="1"/>
    </xf>
    <xf numFmtId="0" fontId="0" fillId="0" borderId="0" xfId="0" applyAlignment="1">
      <alignment horizontal="left"/>
    </xf>
    <xf numFmtId="0" fontId="12" fillId="0" borderId="0" xfId="0" applyFont="1" applyAlignment="1">
      <alignment horizontal="justify" wrapText="1"/>
    </xf>
    <xf numFmtId="0" fontId="13" fillId="0" borderId="6" xfId="0" applyFont="1" applyBorder="1" applyAlignment="1">
      <alignment horizontal="left" vertical="top" wrapText="1"/>
    </xf>
    <xf numFmtId="0" fontId="0" fillId="0" borderId="0" xfId="0" applyAlignment="1">
      <alignment horizontal="left" wrapText="1"/>
    </xf>
    <xf numFmtId="0" fontId="13" fillId="0" borderId="0" xfId="0" applyFont="1" applyAlignment="1">
      <alignment horizontal="center"/>
    </xf>
    <xf numFmtId="0" fontId="23" fillId="0" borderId="0" xfId="0" applyFont="1" applyAlignment="1">
      <alignment horizontal="center"/>
    </xf>
    <xf numFmtId="0" fontId="0" fillId="0" borderId="0" xfId="0" quotePrefix="1" applyAlignment="1">
      <alignment horizontal="left"/>
    </xf>
    <xf numFmtId="0" fontId="10" fillId="0" borderId="0" xfId="1" applyAlignment="1" applyProtection="1">
      <alignment horizontal="center"/>
    </xf>
    <xf numFmtId="0" fontId="16" fillId="0" borderId="7" xfId="0" quotePrefix="1" applyFont="1" applyBorder="1" applyAlignment="1">
      <alignmen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165" fontId="13" fillId="0" borderId="0" xfId="0" applyNumberFormat="1" applyFont="1" applyAlignment="1">
      <alignment horizontal="center" wrapText="1"/>
    </xf>
    <xf numFmtId="3" fontId="13" fillId="0" borderId="0" xfId="0" applyNumberFormat="1" applyFont="1" applyAlignment="1">
      <alignment horizontal="center" wrapText="1"/>
    </xf>
    <xf numFmtId="3" fontId="13" fillId="0" borderId="0" xfId="0" applyNumberFormat="1" applyFont="1" applyAlignment="1">
      <alignment horizontal="center"/>
    </xf>
    <xf numFmtId="0" fontId="12" fillId="0" borderId="0" xfId="0" applyFont="1" applyAlignment="1">
      <alignment vertical="top"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28575</xdr:rowOff>
    </xdr:from>
    <xdr:ext cx="1204386" cy="375195"/>
    <xdr:sp macro="[0]!Print_Trucks" textlink="">
      <xdr:nvSpPr>
        <xdr:cNvPr id="2" name="TextBox 1">
          <a:extLst>
            <a:ext uri="{FF2B5EF4-FFF2-40B4-BE49-F238E27FC236}">
              <a16:creationId xmlns:a16="http://schemas.microsoft.com/office/drawing/2014/main" id="{7A095A8B-55BD-FDD3-66D6-2F6C509E5331}"/>
            </a:ext>
          </a:extLst>
        </xdr:cNvPr>
        <xdr:cNvSpPr txBox="1"/>
      </xdr:nvSpPr>
      <xdr:spPr>
        <a:xfrm>
          <a:off x="19050" y="28575"/>
          <a:ext cx="1145635" cy="356893"/>
        </a:xfrm>
        <a:prstGeom prst="rect">
          <a:avLst/>
        </a:prstGeom>
        <a:solidFill>
          <a:schemeClr val="accent6">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tIns="91440" bIns="91440" rtlCol="0" anchor="ctr" anchorCtr="1">
          <a:spAutoFit/>
        </a:bodyPr>
        <a:lstStyle/>
        <a:p>
          <a:pPr algn="ctr"/>
          <a:r>
            <a:rPr lang="en-US" sz="1100" b="1" i="0" baseline="0"/>
            <a:t>Print</a:t>
          </a:r>
          <a:r>
            <a:rPr lang="en-US" sz="1100" b="1" i="0"/>
            <a:t> </a:t>
          </a:r>
          <a:r>
            <a:rPr lang="en-US" sz="1100" b="1" i="0" baseline="0"/>
            <a:t>Worksheet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0</xdr:row>
      <xdr:rowOff>14605</xdr:rowOff>
    </xdr:from>
    <xdr:ext cx="1194179" cy="385069"/>
    <xdr:sp macro="[0]!Print_Publics" textlink="">
      <xdr:nvSpPr>
        <xdr:cNvPr id="2" name="TextBox 1">
          <a:extLst>
            <a:ext uri="{FF2B5EF4-FFF2-40B4-BE49-F238E27FC236}">
              <a16:creationId xmlns:a16="http://schemas.microsoft.com/office/drawing/2014/main" id="{2CD6DF04-2870-1C3E-9E2F-5D1EEFAA1C8A}"/>
            </a:ext>
          </a:extLst>
        </xdr:cNvPr>
        <xdr:cNvSpPr txBox="1"/>
      </xdr:nvSpPr>
      <xdr:spPr>
        <a:xfrm>
          <a:off x="19050" y="14605"/>
          <a:ext cx="1145635" cy="356893"/>
        </a:xfrm>
        <a:prstGeom prst="rect">
          <a:avLst/>
        </a:prstGeom>
        <a:solidFill>
          <a:schemeClr val="accent6">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tIns="91440" bIns="91440" rtlCol="0" anchor="ctr" anchorCtr="1">
          <a:spAutoFit/>
        </a:bodyPr>
        <a:lstStyle/>
        <a:p>
          <a:pPr algn="ctr"/>
          <a:r>
            <a:rPr lang="en-US" sz="1100" b="1" i="0" baseline="0"/>
            <a:t>Print</a:t>
          </a:r>
          <a:r>
            <a:rPr lang="en-US" sz="1100" b="1" i="0"/>
            <a:t> </a:t>
          </a:r>
          <a:r>
            <a:rPr lang="en-US" sz="1100" b="1" i="0" baseline="0"/>
            <a:t>Worksheet</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xdr:colOff>
      <xdr:row>0</xdr:row>
      <xdr:rowOff>28575</xdr:rowOff>
    </xdr:from>
    <xdr:ext cx="1204386" cy="375195"/>
    <xdr:sp macro="[0]!Print_Garages" textlink="">
      <xdr:nvSpPr>
        <xdr:cNvPr id="2" name="TextBox 1">
          <a:extLst>
            <a:ext uri="{FF2B5EF4-FFF2-40B4-BE49-F238E27FC236}">
              <a16:creationId xmlns:a16="http://schemas.microsoft.com/office/drawing/2014/main" id="{A94FBB60-4E03-6D58-7E4D-32853BB8BFE2}"/>
            </a:ext>
          </a:extLst>
        </xdr:cNvPr>
        <xdr:cNvSpPr txBox="1"/>
      </xdr:nvSpPr>
      <xdr:spPr>
        <a:xfrm>
          <a:off x="28575" y="28575"/>
          <a:ext cx="1145635" cy="356893"/>
        </a:xfrm>
        <a:prstGeom prst="rect">
          <a:avLst/>
        </a:prstGeom>
        <a:solidFill>
          <a:schemeClr val="accent6">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tIns="91440" bIns="91440" rtlCol="0" anchor="ctr" anchorCtr="1">
          <a:spAutoFit/>
        </a:bodyPr>
        <a:lstStyle/>
        <a:p>
          <a:pPr algn="ctr"/>
          <a:r>
            <a:rPr lang="en-US" sz="1100" b="1" i="0" baseline="0"/>
            <a:t>Print</a:t>
          </a:r>
          <a:r>
            <a:rPr lang="en-US" sz="1100" b="1" i="0"/>
            <a:t> </a:t>
          </a:r>
          <a:r>
            <a:rPr lang="en-US" sz="1100" b="1" i="0" baseline="0"/>
            <a:t>Worksheet</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11430</xdr:rowOff>
    </xdr:from>
    <xdr:ext cx="1174276" cy="395476"/>
    <xdr:sp macro="[0]!Print_Exp_Single" textlink="">
      <xdr:nvSpPr>
        <xdr:cNvPr id="4" name="TextBox 3">
          <a:extLst>
            <a:ext uri="{FF2B5EF4-FFF2-40B4-BE49-F238E27FC236}">
              <a16:creationId xmlns:a16="http://schemas.microsoft.com/office/drawing/2014/main" id="{FE3D2B0B-9D30-7E4C-2860-74DC1E6A5BAC}"/>
            </a:ext>
          </a:extLst>
        </xdr:cNvPr>
        <xdr:cNvSpPr txBox="1"/>
      </xdr:nvSpPr>
      <xdr:spPr>
        <a:xfrm>
          <a:off x="28575" y="11430"/>
          <a:ext cx="1145635" cy="356893"/>
        </a:xfrm>
        <a:prstGeom prst="rect">
          <a:avLst/>
        </a:prstGeom>
        <a:solidFill>
          <a:schemeClr val="accent6">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tIns="91440" bIns="91440" rtlCol="0" anchor="ctr" anchorCtr="1">
          <a:spAutoFit/>
        </a:bodyPr>
        <a:lstStyle/>
        <a:p>
          <a:pPr algn="ctr"/>
          <a:r>
            <a:rPr lang="en-US" sz="1100" b="1" i="0" baseline="0"/>
            <a:t>Print</a:t>
          </a:r>
          <a:r>
            <a:rPr lang="en-US" sz="1100" b="1" i="0"/>
            <a:t> </a:t>
          </a:r>
          <a:r>
            <a:rPr lang="en-US" sz="1100" b="1" i="0" baseline="0"/>
            <a:t>Worksheet</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28575</xdr:rowOff>
    </xdr:from>
    <xdr:ext cx="1184144" cy="375195"/>
    <xdr:sp macro="[0]!Print_Gross" textlink="">
      <xdr:nvSpPr>
        <xdr:cNvPr id="3" name="TextBox 2">
          <a:extLst>
            <a:ext uri="{FF2B5EF4-FFF2-40B4-BE49-F238E27FC236}">
              <a16:creationId xmlns:a16="http://schemas.microsoft.com/office/drawing/2014/main" id="{CBDA8FCE-51A5-4FB4-F9B4-D0916AB3B3B6}"/>
            </a:ext>
          </a:extLst>
        </xdr:cNvPr>
        <xdr:cNvSpPr txBox="1"/>
      </xdr:nvSpPr>
      <xdr:spPr>
        <a:xfrm>
          <a:off x="28575" y="28575"/>
          <a:ext cx="1145635" cy="356893"/>
        </a:xfrm>
        <a:prstGeom prst="rect">
          <a:avLst/>
        </a:prstGeom>
        <a:solidFill>
          <a:schemeClr val="accent6">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none" tIns="91440" bIns="91440" rtlCol="0" anchor="ctr" anchorCtr="1">
          <a:spAutoFit/>
        </a:bodyPr>
        <a:lstStyle/>
        <a:p>
          <a:pPr algn="ctr"/>
          <a:r>
            <a:rPr lang="en-US" sz="1100" b="1" i="0" baseline="0"/>
            <a:t>Print</a:t>
          </a:r>
          <a:r>
            <a:rPr lang="en-US" sz="1100" b="1" i="0"/>
            <a:t> </a:t>
          </a:r>
          <a:r>
            <a:rPr lang="en-US" sz="1100" b="1" i="0" baseline="0"/>
            <a:t>Worksheet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ipso.com/LinkClick.aspx?fileticket=wLZKGMJDqV0%3d&amp;tabid=156&amp;portalid=0&amp;mid=1392" TargetMode="External"/><Relationship Id="rId1" Type="http://schemas.openxmlformats.org/officeDocument/2006/relationships/hyperlink" Target="http://prod-sharepoint/sites/AIPSO/MyAIPSO/Teams/MPF/Legacy/Kentucky%20Commercial%20Worksheets/Experience%20Rating%20Help%20Sheet.pdf"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184DF-2137-4395-BE54-D69FF273D68F}">
  <sheetPr codeName="Sheet1">
    <pageSetUpPr fitToPage="1"/>
  </sheetPr>
  <dimension ref="A2:AC30"/>
  <sheetViews>
    <sheetView showGridLines="0" showZeros="0" zoomScaleNormal="100" workbookViewId="0"/>
  </sheetViews>
  <sheetFormatPr defaultRowHeight="15" x14ac:dyDescent="0.25"/>
  <cols>
    <col min="1" max="1" width="11.42578125" customWidth="1"/>
    <col min="2" max="2" width="4.28515625" customWidth="1"/>
    <col min="3" max="3" width="12.28515625" customWidth="1"/>
    <col min="4" max="4" width="5.28515625" customWidth="1"/>
    <col min="6" max="6" width="5.28515625" customWidth="1"/>
    <col min="7" max="7" width="10.85546875" customWidth="1"/>
    <col min="8" max="8" width="5.7109375" customWidth="1"/>
    <col min="9" max="9" width="13" customWidth="1"/>
    <col min="10" max="10" width="5.28515625" customWidth="1"/>
    <col min="11" max="11" width="10.28515625" customWidth="1"/>
    <col min="12" max="12" width="4.42578125" customWidth="1"/>
    <col min="13" max="13" width="11.28515625" customWidth="1"/>
    <col min="14" max="14" width="5.28515625" customWidth="1"/>
    <col min="15" max="15" width="14.85546875" customWidth="1"/>
    <col min="16" max="16" width="5.28515625" customWidth="1"/>
    <col min="17" max="17" width="12.28515625" customWidth="1"/>
    <col min="18" max="18" width="3.7109375" customWidth="1"/>
    <col min="19" max="26" width="9.140625" hidden="1" customWidth="1"/>
  </cols>
  <sheetData>
    <row r="2" spans="1:29" ht="21.75" customHeight="1" x14ac:dyDescent="0.25"/>
    <row r="3" spans="1:29" ht="17.25" x14ac:dyDescent="0.3">
      <c r="A3" s="172" t="s">
        <v>0</v>
      </c>
      <c r="B3" s="173"/>
      <c r="C3" s="173"/>
      <c r="D3" s="173"/>
      <c r="E3" s="173"/>
      <c r="F3" s="173"/>
      <c r="G3" s="173"/>
      <c r="H3" s="173"/>
      <c r="I3" s="173"/>
      <c r="J3" s="173"/>
      <c r="K3" s="173"/>
      <c r="L3" s="168"/>
      <c r="M3" s="168"/>
      <c r="N3" s="168"/>
      <c r="O3" s="168"/>
      <c r="P3" s="168"/>
      <c r="Q3" s="168"/>
      <c r="R3" s="108"/>
      <c r="S3" s="108"/>
      <c r="T3" s="108"/>
      <c r="U3" s="108"/>
      <c r="V3" s="108"/>
      <c r="W3" s="108"/>
      <c r="X3" s="108"/>
      <c r="Y3" s="108"/>
      <c r="Z3" s="108"/>
      <c r="AA3" s="108"/>
      <c r="AB3" s="108"/>
      <c r="AC3" s="108"/>
    </row>
    <row r="4" spans="1:29" ht="25.5" customHeight="1" x14ac:dyDescent="0.25">
      <c r="A4" s="111" t="s">
        <v>1</v>
      </c>
      <c r="R4" s="108"/>
      <c r="S4" s="108"/>
      <c r="T4" s="108"/>
      <c r="U4" s="108"/>
      <c r="V4" s="108"/>
      <c r="W4" s="108"/>
      <c r="X4" s="108"/>
      <c r="Y4" s="108"/>
      <c r="Z4" s="108"/>
      <c r="AA4" s="108"/>
      <c r="AB4" s="108"/>
      <c r="AC4" s="108"/>
    </row>
    <row r="5" spans="1:29" x14ac:dyDescent="0.25">
      <c r="A5" s="171" t="s">
        <v>2</v>
      </c>
      <c r="B5" s="168"/>
      <c r="C5" s="168"/>
      <c r="D5" s="168"/>
      <c r="E5" s="168"/>
      <c r="F5" s="168"/>
      <c r="G5" s="168"/>
      <c r="R5" s="108"/>
      <c r="S5" s="108"/>
      <c r="T5" s="108"/>
      <c r="U5" s="108"/>
      <c r="V5" s="108"/>
      <c r="W5" s="108"/>
      <c r="X5" s="108"/>
      <c r="Y5" s="108"/>
      <c r="Z5" s="108"/>
      <c r="AA5" s="108"/>
      <c r="AB5" s="108"/>
      <c r="AC5" s="108"/>
    </row>
    <row r="6" spans="1:29" x14ac:dyDescent="0.25">
      <c r="A6" s="171"/>
      <c r="B6" s="168"/>
      <c r="C6" s="168"/>
      <c r="D6" s="168"/>
      <c r="E6" s="168"/>
      <c r="F6" s="168"/>
      <c r="G6" s="168"/>
      <c r="H6" s="168"/>
      <c r="I6" s="168"/>
      <c r="J6" s="168"/>
      <c r="K6" s="168"/>
      <c r="L6" s="168"/>
      <c r="M6" s="168"/>
      <c r="N6" s="168"/>
      <c r="O6" s="168"/>
      <c r="R6" s="108"/>
      <c r="S6" s="108"/>
      <c r="T6" s="108"/>
      <c r="U6" s="108"/>
      <c r="V6" s="108"/>
      <c r="W6" s="108"/>
      <c r="X6" s="108"/>
      <c r="Y6" s="108"/>
      <c r="Z6" s="108"/>
      <c r="AA6" s="108"/>
      <c r="AB6" s="108"/>
      <c r="AC6" s="108"/>
    </row>
    <row r="7" spans="1:29" x14ac:dyDescent="0.25">
      <c r="A7" s="180" t="s">
        <v>3</v>
      </c>
      <c r="B7" s="180"/>
    </row>
    <row r="8" spans="1:29" ht="15" customHeight="1" x14ac:dyDescent="0.25">
      <c r="A8" s="181" t="s">
        <v>4</v>
      </c>
      <c r="B8" s="168"/>
      <c r="C8" s="162" t="s">
        <v>5</v>
      </c>
      <c r="D8" s="162"/>
      <c r="E8" s="162" t="s">
        <v>6</v>
      </c>
      <c r="F8" s="162"/>
      <c r="G8" s="162" t="str">
        <f>IF(A7="Zone Rated", "Secondary Factors Do Not Apply to Zone Rated Risks", "SECONDARY RATING FACTOR (Rule 74)")</f>
        <v>SECONDARY RATING FACTOR (Rule 74)</v>
      </c>
      <c r="H8" s="162"/>
      <c r="I8" s="162" t="s">
        <v>7</v>
      </c>
      <c r="J8" s="162"/>
      <c r="K8" s="162" t="s">
        <v>8</v>
      </c>
      <c r="L8" s="182"/>
      <c r="M8" s="162" t="s">
        <v>9</v>
      </c>
      <c r="N8" s="35"/>
      <c r="O8" s="162" t="s">
        <v>10</v>
      </c>
      <c r="P8" s="162"/>
      <c r="Q8" s="162" t="s">
        <v>11</v>
      </c>
    </row>
    <row r="9" spans="1:29" ht="15" customHeight="1" x14ac:dyDescent="0.25">
      <c r="A9" s="168"/>
      <c r="B9" s="168"/>
      <c r="C9" s="162"/>
      <c r="D9" s="162"/>
      <c r="E9" s="162"/>
      <c r="F9" s="162"/>
      <c r="G9" s="162"/>
      <c r="H9" s="162"/>
      <c r="I9" s="170"/>
      <c r="J9" s="162"/>
      <c r="K9" s="170"/>
      <c r="L9" s="182"/>
      <c r="M9" s="163"/>
      <c r="N9" s="35"/>
      <c r="O9" s="162"/>
      <c r="P9" s="162"/>
      <c r="Q9" s="170"/>
    </row>
    <row r="10" spans="1:29" x14ac:dyDescent="0.25">
      <c r="A10" s="168"/>
      <c r="B10" s="168"/>
      <c r="C10" s="162"/>
      <c r="D10" s="162"/>
      <c r="E10" s="162"/>
      <c r="F10" s="162"/>
      <c r="G10" s="162"/>
      <c r="H10" s="162"/>
      <c r="I10" s="170"/>
      <c r="J10" s="162"/>
      <c r="K10" s="170"/>
      <c r="L10" s="182"/>
      <c r="M10" s="163"/>
      <c r="N10" s="35"/>
      <c r="O10" s="162"/>
      <c r="P10" s="162"/>
      <c r="Q10" s="170"/>
    </row>
    <row r="11" spans="1:29" x14ac:dyDescent="0.25">
      <c r="A11" s="168"/>
      <c r="B11" s="168"/>
      <c r="C11" s="162"/>
      <c r="D11" s="162"/>
      <c r="E11" s="162"/>
      <c r="F11" s="162"/>
      <c r="G11" s="162"/>
      <c r="H11" s="162"/>
      <c r="I11" s="170"/>
      <c r="J11" s="162"/>
      <c r="K11" s="170"/>
      <c r="L11" s="182"/>
      <c r="M11" s="163"/>
      <c r="N11" s="35"/>
      <c r="O11" s="162"/>
      <c r="P11" s="162"/>
      <c r="Q11" s="170"/>
      <c r="S11">
        <v>1</v>
      </c>
      <c r="T11">
        <v>2</v>
      </c>
      <c r="U11">
        <v>3</v>
      </c>
      <c r="V11">
        <v>4</v>
      </c>
      <c r="W11">
        <v>5</v>
      </c>
      <c r="X11">
        <v>6</v>
      </c>
      <c r="Y11">
        <v>7</v>
      </c>
    </row>
    <row r="12" spans="1:29" x14ac:dyDescent="0.25">
      <c r="A12" s="168"/>
      <c r="B12" s="168"/>
      <c r="C12" s="162"/>
      <c r="D12" s="162"/>
      <c r="E12" s="162"/>
      <c r="F12" s="162"/>
      <c r="G12" s="162"/>
      <c r="H12" s="162"/>
      <c r="I12" s="170"/>
      <c r="J12" s="162"/>
      <c r="K12" s="170"/>
      <c r="L12" s="182"/>
      <c r="M12" s="163"/>
      <c r="N12" s="35"/>
      <c r="O12" s="162"/>
      <c r="P12" s="162"/>
      <c r="Q12" s="170"/>
    </row>
    <row r="13" spans="1:29" x14ac:dyDescent="0.25">
      <c r="A13" s="167" t="s">
        <v>12</v>
      </c>
      <c r="B13" s="169"/>
      <c r="C13" s="23"/>
      <c r="D13" s="17" t="s">
        <v>13</v>
      </c>
      <c r="E13" s="25"/>
      <c r="F13" s="17" t="s">
        <v>14</v>
      </c>
      <c r="G13" s="25"/>
      <c r="H13" s="17" t="s">
        <v>15</v>
      </c>
      <c r="I13" s="25"/>
      <c r="J13" s="17" t="s">
        <v>16</v>
      </c>
      <c r="K13" s="25"/>
      <c r="L13" s="17" t="s">
        <v>16</v>
      </c>
      <c r="M13" s="97"/>
      <c r="N13" s="17" t="s">
        <v>16</v>
      </c>
      <c r="O13" s="25"/>
      <c r="P13" s="17" t="s">
        <v>17</v>
      </c>
      <c r="Q13" s="28">
        <f>Z13</f>
        <v>0</v>
      </c>
      <c r="S13" t="str">
        <f>IF(C13="","",C13)</f>
        <v/>
      </c>
      <c r="T13">
        <f>IF(E13="",1,E13)</f>
        <v>1</v>
      </c>
      <c r="U13">
        <f>IF(G13="",0,G13)</f>
        <v>0</v>
      </c>
      <c r="V13">
        <f>IF(I13="",1,I13)</f>
        <v>1</v>
      </c>
      <c r="W13">
        <f>IF(K13="",1,K13)</f>
        <v>1</v>
      </c>
      <c r="X13">
        <f>IF(M13="",1,M13)</f>
        <v>1</v>
      </c>
      <c r="Y13">
        <f>IF(O13="",1,O13)</f>
        <v>1</v>
      </c>
      <c r="Z13" s="28">
        <f>IF(S13="",,ROUND(IF(A7="Zone Rated",S13*T13*V13*W13*X13*Y13,S13*(T13+U13)*V13*W13*X13*Y13),0))</f>
        <v>0</v>
      </c>
    </row>
    <row r="14" spans="1:29" x14ac:dyDescent="0.25">
      <c r="A14" s="167" t="s">
        <v>18</v>
      </c>
      <c r="B14" s="169"/>
      <c r="C14" s="24"/>
      <c r="D14" s="17"/>
      <c r="E14" s="26" t="s">
        <v>19</v>
      </c>
      <c r="F14" s="17"/>
      <c r="G14" s="26" t="s">
        <v>19</v>
      </c>
      <c r="H14" s="17"/>
      <c r="I14" s="26" t="s">
        <v>19</v>
      </c>
      <c r="J14" s="17"/>
      <c r="K14" s="26" t="s">
        <v>19</v>
      </c>
      <c r="L14" s="17"/>
      <c r="M14" s="26" t="s">
        <v>19</v>
      </c>
      <c r="N14" s="17"/>
      <c r="O14" s="26" t="s">
        <v>19</v>
      </c>
      <c r="P14" s="17" t="s">
        <v>17</v>
      </c>
      <c r="Q14" s="29">
        <f>C14</f>
        <v>0</v>
      </c>
    </row>
    <row r="15" spans="1:29" x14ac:dyDescent="0.25">
      <c r="A15" s="167" t="s">
        <v>20</v>
      </c>
      <c r="B15" s="169"/>
      <c r="C15" s="24"/>
      <c r="D15" s="17"/>
      <c r="E15" s="26" t="s">
        <v>19</v>
      </c>
      <c r="F15" s="17"/>
      <c r="G15" s="26" t="s">
        <v>19</v>
      </c>
      <c r="H15" s="17"/>
      <c r="I15" s="26" t="s">
        <v>19</v>
      </c>
      <c r="J15" s="17"/>
      <c r="K15" s="26" t="s">
        <v>19</v>
      </c>
      <c r="L15" s="17"/>
      <c r="M15" s="26" t="s">
        <v>19</v>
      </c>
      <c r="N15" s="17"/>
      <c r="O15" s="26" t="s">
        <v>19</v>
      </c>
      <c r="P15" s="17" t="s">
        <v>17</v>
      </c>
      <c r="Q15" s="29">
        <f>C15</f>
        <v>0</v>
      </c>
    </row>
    <row r="16" spans="1:29" x14ac:dyDescent="0.25">
      <c r="A16" s="167" t="s">
        <v>21</v>
      </c>
      <c r="B16" s="168"/>
      <c r="C16" s="24"/>
      <c r="D16" s="17" t="s">
        <v>22</v>
      </c>
      <c r="E16" s="91"/>
      <c r="F16" s="17"/>
      <c r="G16" s="26" t="s">
        <v>19</v>
      </c>
      <c r="H16" s="17" t="s">
        <v>16</v>
      </c>
      <c r="I16" s="27"/>
      <c r="J16" s="17"/>
      <c r="K16" s="26" t="s">
        <v>19</v>
      </c>
      <c r="L16" s="17" t="s">
        <v>16</v>
      </c>
      <c r="M16" s="96">
        <f>IF(M13="",,M13)</f>
        <v>0</v>
      </c>
      <c r="N16" s="17" t="s">
        <v>16</v>
      </c>
      <c r="O16" s="92">
        <f>IF(O13=0,,O13)</f>
        <v>0</v>
      </c>
      <c r="P16" s="17" t="s">
        <v>17</v>
      </c>
      <c r="Q16" s="29">
        <f>Z16</f>
        <v>0</v>
      </c>
      <c r="S16" s="90" t="str">
        <f>IF(C16="","",C16)</f>
        <v/>
      </c>
      <c r="T16">
        <f>IF(E16="",1,E16)</f>
        <v>1</v>
      </c>
      <c r="V16">
        <f>IF(I16="",1,I16)</f>
        <v>1</v>
      </c>
      <c r="X16">
        <f>IF(M13="",1,M13)</f>
        <v>1</v>
      </c>
      <c r="Y16">
        <f>IF(O13="",1,O13)</f>
        <v>1</v>
      </c>
      <c r="Z16" s="28">
        <f>IF(S16="",,ROUND(S16*T16*V16*X16*Y16,0))</f>
        <v>0</v>
      </c>
    </row>
    <row r="17" spans="1:26" x14ac:dyDescent="0.25">
      <c r="A17" s="150" t="s">
        <v>23</v>
      </c>
      <c r="C17" s="24"/>
      <c r="D17" s="17"/>
      <c r="E17" s="26" t="s">
        <v>19</v>
      </c>
      <c r="F17" s="17"/>
      <c r="G17" s="26" t="s">
        <v>19</v>
      </c>
      <c r="H17" s="17"/>
      <c r="I17" s="26" t="s">
        <v>19</v>
      </c>
      <c r="J17" s="17"/>
      <c r="K17" s="26" t="s">
        <v>19</v>
      </c>
      <c r="L17" s="17" t="s">
        <v>16</v>
      </c>
      <c r="M17" s="96">
        <f>IF(M13="",,M13)</f>
        <v>0</v>
      </c>
      <c r="N17" s="17" t="s">
        <v>16</v>
      </c>
      <c r="O17" s="92">
        <f>IF(O13=0,,O13)</f>
        <v>0</v>
      </c>
      <c r="P17" s="17" t="s">
        <v>17</v>
      </c>
      <c r="Q17" s="29">
        <f>Z17</f>
        <v>0</v>
      </c>
      <c r="S17" s="90" t="str">
        <f>IF(C17="","",C17)</f>
        <v/>
      </c>
      <c r="X17" s="90">
        <f>IF(M13="",1,M13)</f>
        <v>1</v>
      </c>
      <c r="Y17">
        <f>IF(O13="",1,O13)</f>
        <v>1</v>
      </c>
      <c r="Z17" s="28">
        <f>IF(S17="",,ROUND(S17*X17*Y17,0))</f>
        <v>0</v>
      </c>
    </row>
    <row r="18" spans="1:26" x14ac:dyDescent="0.25">
      <c r="A18" s="150" t="s">
        <v>24</v>
      </c>
      <c r="C18" s="24"/>
      <c r="D18" s="17"/>
      <c r="E18" s="26" t="s">
        <v>19</v>
      </c>
      <c r="F18" s="17"/>
      <c r="G18" s="26" t="s">
        <v>19</v>
      </c>
      <c r="H18" s="17"/>
      <c r="I18" s="26" t="s">
        <v>19</v>
      </c>
      <c r="J18" s="17"/>
      <c r="K18" s="26" t="s">
        <v>19</v>
      </c>
      <c r="L18" s="17"/>
      <c r="M18" s="26" t="s">
        <v>19</v>
      </c>
      <c r="N18" s="17"/>
      <c r="O18" s="26" t="s">
        <v>19</v>
      </c>
      <c r="P18" s="17" t="s">
        <v>17</v>
      </c>
      <c r="Q18" s="29">
        <f>C18</f>
        <v>0</v>
      </c>
      <c r="S18" s="90"/>
      <c r="Z18" s="19"/>
    </row>
    <row r="19" spans="1:26" x14ac:dyDescent="0.25">
      <c r="B19" s="18"/>
      <c r="C19" s="95"/>
      <c r="D19" s="95"/>
      <c r="E19" s="95"/>
      <c r="F19" s="95"/>
      <c r="G19" s="95"/>
      <c r="H19" s="95"/>
      <c r="I19" s="95"/>
      <c r="J19" s="95"/>
      <c r="K19" s="95"/>
      <c r="L19" s="95"/>
      <c r="M19" s="95"/>
      <c r="N19" s="95"/>
      <c r="O19" s="95"/>
      <c r="P19" s="95"/>
      <c r="Q19" s="95"/>
    </row>
    <row r="20" spans="1:26" x14ac:dyDescent="0.25">
      <c r="A20" s="18" t="s">
        <v>25</v>
      </c>
      <c r="B20" s="21"/>
      <c r="C20" s="95"/>
      <c r="D20" s="95"/>
      <c r="E20" s="95"/>
      <c r="F20" s="95"/>
      <c r="G20" s="95"/>
      <c r="H20" s="95"/>
      <c r="I20" s="95"/>
      <c r="J20" s="95"/>
      <c r="K20" s="95"/>
      <c r="L20" s="95"/>
      <c r="M20" s="95"/>
      <c r="N20" s="95"/>
      <c r="O20" s="95"/>
      <c r="P20" s="1"/>
      <c r="Q20" s="16">
        <f>Q13+Q14+Q15+Q16+Q17+Q18</f>
        <v>0</v>
      </c>
    </row>
    <row r="21" spans="1:26" x14ac:dyDescent="0.25">
      <c r="A21" s="95"/>
      <c r="B21" s="95"/>
      <c r="C21" s="95"/>
      <c r="D21" s="95"/>
      <c r="E21" s="95"/>
      <c r="F21" s="95"/>
      <c r="G21" s="95"/>
      <c r="H21" s="95"/>
      <c r="I21" s="95"/>
      <c r="J21" s="95"/>
      <c r="K21" s="95"/>
      <c r="L21" s="95"/>
      <c r="M21" s="95"/>
      <c r="N21" s="95"/>
      <c r="O21" s="95"/>
      <c r="P21" s="1"/>
      <c r="Q21" s="95"/>
    </row>
    <row r="22" spans="1:26" x14ac:dyDescent="0.25">
      <c r="A22" s="179" t="s">
        <v>26</v>
      </c>
      <c r="B22" s="179"/>
      <c r="C22" s="179"/>
      <c r="D22" s="179"/>
      <c r="E22" s="179"/>
      <c r="F22" s="179"/>
      <c r="G22" s="179"/>
      <c r="H22" s="179"/>
      <c r="I22" s="179"/>
      <c r="J22" s="179"/>
      <c r="K22" s="179"/>
      <c r="L22" s="179"/>
      <c r="M22" s="179"/>
      <c r="N22" s="179"/>
      <c r="O22" s="179"/>
      <c r="P22" s="179"/>
    </row>
    <row r="23" spans="1:26" x14ac:dyDescent="0.25">
      <c r="A23" s="20" t="s">
        <v>27</v>
      </c>
      <c r="B23" s="67" t="s">
        <v>28</v>
      </c>
      <c r="C23" s="95"/>
      <c r="D23" s="95"/>
      <c r="E23" s="95"/>
      <c r="F23" s="95"/>
      <c r="G23" s="95"/>
    </row>
    <row r="24" spans="1:26" ht="15" customHeight="1" x14ac:dyDescent="0.25">
      <c r="A24" s="67" t="s">
        <v>29</v>
      </c>
      <c r="B24" s="67" t="s">
        <v>30</v>
      </c>
      <c r="C24" s="95"/>
      <c r="D24" s="95"/>
      <c r="E24" s="95"/>
      <c r="F24" s="95"/>
      <c r="G24" s="95"/>
    </row>
    <row r="25" spans="1:26" ht="15" customHeight="1" x14ac:dyDescent="0.25">
      <c r="B25" s="177" t="s">
        <v>31</v>
      </c>
      <c r="C25" s="178"/>
      <c r="D25" s="178"/>
      <c r="E25" s="178"/>
      <c r="F25" s="178"/>
    </row>
    <row r="27" spans="1:26" x14ac:dyDescent="0.25">
      <c r="B27" s="164" t="s">
        <v>32</v>
      </c>
      <c r="C27" s="165"/>
      <c r="D27" s="165"/>
      <c r="E27" s="165"/>
      <c r="F27" s="165"/>
      <c r="G27" s="165"/>
      <c r="H27" s="165"/>
      <c r="I27" s="165"/>
      <c r="J27" s="165"/>
      <c r="K27" s="165"/>
      <c r="L27" s="165"/>
      <c r="M27" s="165"/>
      <c r="N27" s="165"/>
      <c r="O27" s="165"/>
      <c r="P27" s="165"/>
      <c r="Q27" s="166"/>
    </row>
    <row r="28" spans="1:26" ht="45" customHeight="1" x14ac:dyDescent="0.25">
      <c r="B28" s="109" t="s">
        <v>33</v>
      </c>
      <c r="C28" s="174" t="s">
        <v>34</v>
      </c>
      <c r="D28" s="175"/>
      <c r="E28" s="175"/>
      <c r="F28" s="175"/>
      <c r="G28" s="175"/>
      <c r="H28" s="175"/>
      <c r="I28" s="175"/>
      <c r="J28" s="175"/>
      <c r="K28" s="175"/>
      <c r="L28" s="175"/>
      <c r="M28" s="175"/>
      <c r="N28" s="175"/>
      <c r="O28" s="175"/>
      <c r="P28" s="175"/>
      <c r="Q28" s="176"/>
    </row>
    <row r="29" spans="1:26" x14ac:dyDescent="0.25">
      <c r="B29" s="118" t="s">
        <v>35</v>
      </c>
      <c r="C29" s="119" t="s">
        <v>36</v>
      </c>
      <c r="D29" s="112"/>
      <c r="E29" s="89"/>
      <c r="F29" s="89"/>
      <c r="G29" s="89"/>
      <c r="H29" s="89"/>
      <c r="I29" s="89"/>
      <c r="J29" s="89"/>
      <c r="K29" s="89"/>
      <c r="L29" s="89"/>
      <c r="M29" s="89"/>
      <c r="N29" s="89"/>
      <c r="O29" s="89"/>
      <c r="P29" s="89"/>
      <c r="Q29" s="120"/>
    </row>
    <row r="30" spans="1:26" ht="21" customHeight="1" x14ac:dyDescent="0.25">
      <c r="B30" s="121" t="s">
        <v>37</v>
      </c>
      <c r="C30" s="122" t="s">
        <v>38</v>
      </c>
      <c r="D30" s="122"/>
      <c r="E30" s="122"/>
      <c r="F30" s="122"/>
      <c r="G30" s="122"/>
      <c r="H30" s="116"/>
      <c r="I30" s="116"/>
      <c r="J30" s="116"/>
      <c r="K30" s="116"/>
      <c r="L30" s="116"/>
      <c r="M30" s="116"/>
      <c r="N30" s="116"/>
      <c r="O30" s="116"/>
      <c r="P30" s="116"/>
      <c r="Q30" s="117"/>
    </row>
  </sheetData>
  <sheetProtection sheet="1"/>
  <mergeCells count="27">
    <mergeCell ref="A5:G5"/>
    <mergeCell ref="A3:Q3"/>
    <mergeCell ref="C28:Q28"/>
    <mergeCell ref="Q8:Q12"/>
    <mergeCell ref="G8:G12"/>
    <mergeCell ref="H8:H12"/>
    <mergeCell ref="I8:I12"/>
    <mergeCell ref="P8:P12"/>
    <mergeCell ref="A15:B15"/>
    <mergeCell ref="B25:F25"/>
    <mergeCell ref="A22:P22"/>
    <mergeCell ref="A6:O6"/>
    <mergeCell ref="A7:B7"/>
    <mergeCell ref="A8:B12"/>
    <mergeCell ref="O8:O12"/>
    <mergeCell ref="L8:L12"/>
    <mergeCell ref="M8:M12"/>
    <mergeCell ref="E8:E12"/>
    <mergeCell ref="B27:Q27"/>
    <mergeCell ref="A16:B16"/>
    <mergeCell ref="A13:B13"/>
    <mergeCell ref="A14:B14"/>
    <mergeCell ref="K8:K12"/>
    <mergeCell ref="F8:F12"/>
    <mergeCell ref="C8:C12"/>
    <mergeCell ref="D8:D12"/>
    <mergeCell ref="J8:J12"/>
  </mergeCells>
  <dataValidations count="1">
    <dataValidation type="list" allowBlank="1" showInputMessage="1" showErrorMessage="1" promptTitle="Select" sqref="A7:B7" xr:uid="{CF7FF6DA-A04D-48F8-A5E2-894306BB14A6}">
      <formula1>"Select Class, Other than Zone Rated, Zone Rated"</formula1>
    </dataValidation>
  </dataValidations>
  <printOptions horizontalCentered="1"/>
  <pageMargins left="0.5" right="0.5" top="0.5" bottom="0.5" header="0.3" footer="0.3"/>
  <pageSetup scale="86"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8635D-06EE-48A4-A54A-CF444846FFB3}">
  <sheetPr codeName="Sheet2">
    <pageSetUpPr fitToPage="1"/>
  </sheetPr>
  <dimension ref="A2:Z26"/>
  <sheetViews>
    <sheetView showGridLines="0" showZeros="0" zoomScaleNormal="100" workbookViewId="0">
      <selection activeCell="L13" sqref="L13"/>
    </sheetView>
  </sheetViews>
  <sheetFormatPr defaultRowHeight="15" x14ac:dyDescent="0.25"/>
  <cols>
    <col min="1" max="1" width="11.140625" customWidth="1"/>
    <col min="2" max="2" width="5.140625" customWidth="1"/>
    <col min="3" max="3" width="12.140625" customWidth="1"/>
    <col min="4" max="4" width="5.28515625" customWidth="1"/>
    <col min="6" max="6" width="5.28515625" customWidth="1"/>
    <col min="7" max="7" width="11" customWidth="1"/>
    <col min="8" max="8" width="5.28515625" customWidth="1"/>
    <col min="9" max="9" width="12.28515625" customWidth="1"/>
    <col min="10" max="10" width="5.28515625" customWidth="1"/>
    <col min="11" max="11" width="11.85546875" customWidth="1"/>
    <col min="12" max="12" width="5.28515625" customWidth="1"/>
    <col min="13" max="13" width="14.7109375" customWidth="1"/>
    <col min="14" max="14" width="5.28515625" customWidth="1"/>
    <col min="15" max="15" width="12.28515625" customWidth="1"/>
    <col min="18" max="24" width="9.140625" hidden="1" customWidth="1"/>
  </cols>
  <sheetData>
    <row r="2" spans="1:24" ht="21.75" customHeight="1" x14ac:dyDescent="0.25"/>
    <row r="3" spans="1:24" ht="17.25" x14ac:dyDescent="0.3">
      <c r="A3" s="172" t="s">
        <v>39</v>
      </c>
      <c r="B3" s="173"/>
      <c r="C3" s="173"/>
      <c r="D3" s="173"/>
      <c r="E3" s="173"/>
      <c r="F3" s="173"/>
      <c r="G3" s="173"/>
      <c r="H3" s="173"/>
      <c r="I3" s="173"/>
      <c r="J3" s="173"/>
      <c r="K3" s="173"/>
      <c r="L3" s="168"/>
      <c r="M3" s="168"/>
      <c r="N3" s="168"/>
      <c r="O3" s="168"/>
      <c r="P3" s="168"/>
      <c r="Q3" s="168"/>
    </row>
    <row r="4" spans="1:24" ht="20.25" customHeight="1" x14ac:dyDescent="0.25">
      <c r="A4" s="111" t="s">
        <v>1</v>
      </c>
    </row>
    <row r="5" spans="1:24" x14ac:dyDescent="0.25">
      <c r="A5" s="171" t="s">
        <v>2</v>
      </c>
      <c r="B5" s="168"/>
      <c r="C5" s="168"/>
      <c r="D5" s="168"/>
      <c r="E5" s="168"/>
      <c r="F5" s="168"/>
      <c r="G5" s="168"/>
    </row>
    <row r="7" spans="1:24" ht="17.25" customHeight="1" x14ac:dyDescent="0.25">
      <c r="A7" s="180" t="s">
        <v>3</v>
      </c>
      <c r="B7" s="180"/>
    </row>
    <row r="8" spans="1:24" ht="75.75" customHeight="1" x14ac:dyDescent="0.25">
      <c r="A8" s="181" t="s">
        <v>4</v>
      </c>
      <c r="B8" s="168"/>
      <c r="C8" s="34" t="s">
        <v>40</v>
      </c>
      <c r="D8" s="34"/>
      <c r="E8" s="34" t="s">
        <v>41</v>
      </c>
      <c r="F8" s="34"/>
      <c r="G8" s="34" t="str">
        <f>IF(A7="Zone Rated", "Secondary Factors Do Not Apply to Zone Rated Risks", "SECONDARY RATING FACTOR (Rule 94)")</f>
        <v>SECONDARY RATING FACTOR (Rule 94)</v>
      </c>
      <c r="H8" s="34"/>
      <c r="I8" s="34" t="s">
        <v>42</v>
      </c>
      <c r="J8" s="34"/>
      <c r="K8" s="34" t="s">
        <v>9</v>
      </c>
      <c r="L8" s="35"/>
      <c r="M8" s="34" t="s">
        <v>10</v>
      </c>
      <c r="N8" s="34"/>
      <c r="O8" s="34" t="s">
        <v>11</v>
      </c>
      <c r="R8">
        <v>1</v>
      </c>
      <c r="S8">
        <v>2</v>
      </c>
      <c r="T8">
        <v>3</v>
      </c>
      <c r="U8">
        <v>4</v>
      </c>
      <c r="V8">
        <v>5</v>
      </c>
      <c r="W8">
        <v>6</v>
      </c>
    </row>
    <row r="9" spans="1:24" x14ac:dyDescent="0.25">
      <c r="A9" s="167" t="s">
        <v>12</v>
      </c>
      <c r="B9" s="169"/>
      <c r="C9" s="23"/>
      <c r="D9" s="17" t="s">
        <v>13</v>
      </c>
      <c r="E9" s="25"/>
      <c r="F9" s="17" t="s">
        <v>14</v>
      </c>
      <c r="G9" s="25"/>
      <c r="H9" s="17" t="s">
        <v>15</v>
      </c>
      <c r="I9" s="25"/>
      <c r="J9" s="17" t="s">
        <v>16</v>
      </c>
      <c r="K9" s="25"/>
      <c r="L9" s="17" t="s">
        <v>16</v>
      </c>
      <c r="M9" s="25"/>
      <c r="N9" s="17" t="s">
        <v>17</v>
      </c>
      <c r="O9" s="28">
        <f>X9</f>
        <v>0</v>
      </c>
      <c r="R9" t="str">
        <f>IF(C9="","",C9)</f>
        <v/>
      </c>
      <c r="S9">
        <f>IF(E9="",1,E9)</f>
        <v>1</v>
      </c>
      <c r="T9">
        <f>IF(G9="",0,G9)</f>
        <v>0</v>
      </c>
      <c r="U9">
        <f>IF(I9="",1,I9)</f>
        <v>1</v>
      </c>
      <c r="V9">
        <f>IF(K9="",1,K9)</f>
        <v>1</v>
      </c>
      <c r="W9">
        <f>IF(M9="",1,M9)</f>
        <v>1</v>
      </c>
      <c r="X9" s="28">
        <f>IF(R9="",,ROUND(IF(A7="Zone Rated",R9*S9*U9*V9*W9,R9*(S9+T9)*U9*V9*W9),0))</f>
        <v>0</v>
      </c>
    </row>
    <row r="10" spans="1:24" x14ac:dyDescent="0.25">
      <c r="A10" s="150" t="s">
        <v>18</v>
      </c>
      <c r="B10" s="18"/>
      <c r="C10" s="24"/>
      <c r="D10" s="17"/>
      <c r="E10" s="26" t="s">
        <v>19</v>
      </c>
      <c r="F10" s="17"/>
      <c r="G10" s="26" t="s">
        <v>19</v>
      </c>
      <c r="H10" s="17"/>
      <c r="I10" s="26" t="s">
        <v>19</v>
      </c>
      <c r="J10" s="17"/>
      <c r="K10" s="26" t="s">
        <v>19</v>
      </c>
      <c r="L10" s="17"/>
      <c r="M10" s="26" t="s">
        <v>19</v>
      </c>
      <c r="N10" s="17" t="s">
        <v>17</v>
      </c>
      <c r="O10" s="29">
        <f>C10</f>
        <v>0</v>
      </c>
    </row>
    <row r="11" spans="1:24" x14ac:dyDescent="0.25">
      <c r="A11" s="150" t="s">
        <v>20</v>
      </c>
      <c r="B11" s="18"/>
      <c r="C11" s="24"/>
      <c r="D11" s="17"/>
      <c r="E11" s="26" t="s">
        <v>19</v>
      </c>
      <c r="F11" s="17"/>
      <c r="G11" s="26" t="s">
        <v>19</v>
      </c>
      <c r="H11" s="17"/>
      <c r="I11" s="26" t="s">
        <v>19</v>
      </c>
      <c r="J11" s="17"/>
      <c r="K11" s="26" t="s">
        <v>19</v>
      </c>
      <c r="L11" s="17"/>
      <c r="M11" s="26" t="s">
        <v>19</v>
      </c>
      <c r="N11" s="17" t="s">
        <v>17</v>
      </c>
      <c r="O11" s="29">
        <f>C11</f>
        <v>0</v>
      </c>
    </row>
    <row r="12" spans="1:24" x14ac:dyDescent="0.25">
      <c r="A12" s="150" t="s">
        <v>21</v>
      </c>
      <c r="B12" s="18"/>
      <c r="C12" s="24"/>
      <c r="D12" s="17" t="s">
        <v>13</v>
      </c>
      <c r="E12" s="25"/>
      <c r="F12" s="17" t="s">
        <v>14</v>
      </c>
      <c r="G12" s="25"/>
      <c r="H12" s="17" t="s">
        <v>15</v>
      </c>
      <c r="I12" s="27"/>
      <c r="J12" s="17" t="s">
        <v>16</v>
      </c>
      <c r="K12" s="92">
        <f>IF(K9="",,K9)</f>
        <v>0</v>
      </c>
      <c r="L12" s="17" t="s">
        <v>16</v>
      </c>
      <c r="M12" s="92">
        <f>IF(M9="",,M9)</f>
        <v>0</v>
      </c>
      <c r="N12" s="17" t="s">
        <v>17</v>
      </c>
      <c r="O12" s="29">
        <f>X12</f>
        <v>0</v>
      </c>
      <c r="R12" s="90" t="str">
        <f>IF(C12="","",C12)</f>
        <v/>
      </c>
      <c r="S12">
        <f>IF(E12="",1,E12)</f>
        <v>1</v>
      </c>
      <c r="T12">
        <f>IF(G12="",0,G12)</f>
        <v>0</v>
      </c>
      <c r="U12">
        <f>IF(I12="",1,I12)</f>
        <v>1</v>
      </c>
      <c r="V12">
        <f>IF(K9="",1,K9)</f>
        <v>1</v>
      </c>
      <c r="W12">
        <f>IF(M9="",1,M9)</f>
        <v>1</v>
      </c>
      <c r="X12" s="28">
        <f>IF(R12="",,ROUND(IF(A7="Zone Rated",R12*S12*U12*V12*W12,R12*(S12+T12)*U12*V12*W12),0))</f>
        <v>0</v>
      </c>
    </row>
    <row r="13" spans="1:24" x14ac:dyDescent="0.25">
      <c r="A13" s="150" t="s">
        <v>23</v>
      </c>
      <c r="B13" s="30"/>
      <c r="C13" s="24"/>
      <c r="D13" s="17"/>
      <c r="E13" s="26" t="s">
        <v>19</v>
      </c>
      <c r="F13" s="17"/>
      <c r="G13" s="26" t="s">
        <v>19</v>
      </c>
      <c r="H13" s="17"/>
      <c r="I13" s="26" t="s">
        <v>19</v>
      </c>
      <c r="J13" s="17" t="s">
        <v>16</v>
      </c>
      <c r="K13" s="92">
        <f>IF(K9="",,K9)</f>
        <v>0</v>
      </c>
      <c r="L13" s="17" t="s">
        <v>16</v>
      </c>
      <c r="M13" s="92">
        <f>IF(M9="",,M9)</f>
        <v>0</v>
      </c>
      <c r="N13" s="17" t="s">
        <v>17</v>
      </c>
      <c r="O13" s="29">
        <f>X13</f>
        <v>0</v>
      </c>
      <c r="R13" s="90" t="str">
        <f>IF(C13="","",C13)</f>
        <v/>
      </c>
      <c r="V13">
        <f>IF(K9="",1,K9)</f>
        <v>1</v>
      </c>
      <c r="W13">
        <f>IF(M9="",1,M9)</f>
        <v>1</v>
      </c>
      <c r="X13" s="28">
        <f>IF(R13="",,ROUND(R13*V13*W13,0))</f>
        <v>0</v>
      </c>
    </row>
    <row r="14" spans="1:24" ht="15" customHeight="1" x14ac:dyDescent="0.25">
      <c r="A14" s="150" t="s">
        <v>24</v>
      </c>
      <c r="B14" s="30"/>
      <c r="C14" s="24"/>
      <c r="D14" s="17"/>
      <c r="E14" s="26" t="s">
        <v>19</v>
      </c>
      <c r="F14" s="17"/>
      <c r="G14" s="26" t="s">
        <v>19</v>
      </c>
      <c r="H14" s="17"/>
      <c r="I14" s="26" t="s">
        <v>19</v>
      </c>
      <c r="J14" s="17"/>
      <c r="K14" s="26" t="s">
        <v>19</v>
      </c>
      <c r="L14" s="17"/>
      <c r="M14" s="26" t="s">
        <v>19</v>
      </c>
      <c r="N14" s="17" t="s">
        <v>17</v>
      </c>
      <c r="O14" s="29">
        <f>C14</f>
        <v>0</v>
      </c>
      <c r="R14" s="90"/>
      <c r="X14" s="19"/>
    </row>
    <row r="15" spans="1:24" x14ac:dyDescent="0.25">
      <c r="B15" s="18"/>
      <c r="C15" s="178"/>
      <c r="D15" s="178"/>
      <c r="E15" s="178"/>
      <c r="F15" s="178"/>
      <c r="G15" s="178"/>
      <c r="H15" s="178"/>
      <c r="I15" s="178"/>
      <c r="J15" s="178"/>
      <c r="K15" s="178"/>
      <c r="L15" s="178"/>
      <c r="M15" s="178"/>
      <c r="N15" s="95"/>
      <c r="O15" s="95"/>
    </row>
    <row r="16" spans="1:24" x14ac:dyDescent="0.25">
      <c r="A16" s="18" t="s">
        <v>25</v>
      </c>
      <c r="B16" s="21"/>
      <c r="C16" s="178"/>
      <c r="D16" s="178"/>
      <c r="E16" s="178"/>
      <c r="F16" s="178"/>
      <c r="G16" s="178"/>
      <c r="H16" s="178"/>
      <c r="I16" s="178"/>
      <c r="J16" s="178"/>
      <c r="K16" s="178"/>
      <c r="L16" s="178"/>
      <c r="M16" s="178"/>
      <c r="N16" s="1"/>
      <c r="O16" s="16">
        <f>O9+O10+O11+O12+O13+O14</f>
        <v>0</v>
      </c>
    </row>
    <row r="17" spans="1:26" x14ac:dyDescent="0.25">
      <c r="A17" s="18"/>
      <c r="B17" s="21"/>
      <c r="C17" s="95"/>
      <c r="D17" s="95"/>
      <c r="E17" s="95"/>
      <c r="F17" s="95"/>
      <c r="G17" s="95"/>
      <c r="H17" s="95"/>
      <c r="I17" s="95"/>
      <c r="J17" s="95"/>
      <c r="K17" s="95"/>
      <c r="L17" s="95"/>
      <c r="M17" s="95"/>
      <c r="N17" s="1"/>
      <c r="O17" s="19"/>
    </row>
    <row r="18" spans="1:26" x14ac:dyDescent="0.25">
      <c r="A18" s="179" t="s">
        <v>26</v>
      </c>
      <c r="B18" s="179"/>
      <c r="C18" s="179"/>
      <c r="D18" s="179"/>
      <c r="E18" s="179"/>
      <c r="F18" s="179"/>
      <c r="G18" s="179"/>
      <c r="H18" s="179"/>
      <c r="I18" s="179"/>
      <c r="J18" s="179"/>
      <c r="K18" s="179"/>
      <c r="L18" s="179"/>
      <c r="M18" s="179"/>
      <c r="N18" s="179"/>
      <c r="O18" s="179"/>
      <c r="P18" s="179"/>
    </row>
    <row r="19" spans="1:26" x14ac:dyDescent="0.25">
      <c r="A19" s="93" t="s">
        <v>27</v>
      </c>
      <c r="B19" s="67" t="s">
        <v>28</v>
      </c>
      <c r="C19" s="95"/>
      <c r="D19" s="95"/>
      <c r="E19" s="95"/>
      <c r="F19" s="95"/>
      <c r="G19" s="95"/>
      <c r="H19" s="95"/>
      <c r="I19" s="95"/>
      <c r="J19" s="95"/>
      <c r="K19" s="95"/>
      <c r="L19" s="95"/>
      <c r="M19" s="95"/>
      <c r="N19" s="1"/>
      <c r="O19" s="19"/>
    </row>
    <row r="20" spans="1:26" ht="15" customHeight="1" x14ac:dyDescent="0.25">
      <c r="A20" s="67" t="s">
        <v>29</v>
      </c>
      <c r="B20" s="67" t="s">
        <v>30</v>
      </c>
      <c r="C20" s="95"/>
      <c r="D20" s="95"/>
      <c r="E20" s="95"/>
      <c r="F20" s="95"/>
      <c r="G20" s="95"/>
      <c r="H20" s="95"/>
    </row>
    <row r="21" spans="1:26" x14ac:dyDescent="0.25">
      <c r="A21" s="67"/>
      <c r="B21" s="177" t="s">
        <v>31</v>
      </c>
      <c r="C21" s="178"/>
      <c r="D21" s="178"/>
      <c r="E21" s="178"/>
      <c r="F21" s="178"/>
      <c r="G21" s="67"/>
    </row>
    <row r="22" spans="1:26" x14ac:dyDescent="0.25">
      <c r="R22" s="108"/>
      <c r="S22" s="108"/>
      <c r="T22" s="108"/>
      <c r="U22" s="108"/>
      <c r="V22" s="108"/>
      <c r="W22" s="108"/>
      <c r="X22" s="108"/>
      <c r="Y22" s="108"/>
      <c r="Z22" s="108"/>
    </row>
    <row r="23" spans="1:26" x14ac:dyDescent="0.25">
      <c r="B23" s="164" t="s">
        <v>32</v>
      </c>
      <c r="C23" s="165"/>
      <c r="D23" s="165"/>
      <c r="E23" s="165"/>
      <c r="F23" s="165"/>
      <c r="G23" s="165"/>
      <c r="H23" s="165"/>
      <c r="I23" s="165"/>
      <c r="J23" s="165"/>
      <c r="K23" s="165"/>
      <c r="L23" s="165"/>
      <c r="M23" s="165"/>
      <c r="N23" s="165"/>
      <c r="O23" s="166"/>
      <c r="R23" s="108"/>
      <c r="S23" s="108"/>
      <c r="T23" s="108"/>
      <c r="U23" s="108"/>
      <c r="V23" s="108"/>
      <c r="W23" s="108"/>
      <c r="X23" s="108"/>
      <c r="Y23" s="108"/>
      <c r="Z23" s="108"/>
    </row>
    <row r="24" spans="1:26" ht="44.25" customHeight="1" x14ac:dyDescent="0.25">
      <c r="B24" s="109" t="s">
        <v>33</v>
      </c>
      <c r="C24" s="174" t="s">
        <v>34</v>
      </c>
      <c r="D24" s="170"/>
      <c r="E24" s="170"/>
      <c r="F24" s="170"/>
      <c r="G24" s="170"/>
      <c r="H24" s="170"/>
      <c r="I24" s="170"/>
      <c r="J24" s="170"/>
      <c r="K24" s="170"/>
      <c r="L24" s="170"/>
      <c r="M24" s="170"/>
      <c r="N24" s="170"/>
      <c r="O24" s="183"/>
      <c r="P24" s="112"/>
      <c r="Q24" s="112"/>
      <c r="R24" s="108"/>
      <c r="S24" s="108"/>
      <c r="T24" s="108"/>
      <c r="U24" s="108"/>
      <c r="V24" s="108"/>
      <c r="W24" s="108"/>
      <c r="X24" s="108"/>
      <c r="Y24" s="108"/>
      <c r="Z24" s="108"/>
    </row>
    <row r="25" spans="1:26" ht="13.5" customHeight="1" x14ac:dyDescent="0.25">
      <c r="B25" s="118" t="s">
        <v>35</v>
      </c>
      <c r="C25" s="119" t="s">
        <v>43</v>
      </c>
      <c r="D25" s="112"/>
      <c r="E25" s="89"/>
      <c r="F25" s="89"/>
      <c r="G25" s="89"/>
      <c r="H25" s="89"/>
      <c r="I25" s="89"/>
      <c r="J25" s="89"/>
      <c r="K25" s="89"/>
      <c r="L25" s="89"/>
      <c r="M25" s="89"/>
      <c r="N25" s="89"/>
      <c r="O25" s="120"/>
      <c r="P25" s="89"/>
      <c r="Q25" s="89"/>
      <c r="R25" s="108"/>
      <c r="S25" s="108"/>
      <c r="T25" s="108"/>
      <c r="U25" s="108"/>
      <c r="V25" s="108"/>
      <c r="W25" s="108"/>
      <c r="X25" s="108"/>
      <c r="Y25" s="108"/>
      <c r="Z25" s="108"/>
    </row>
    <row r="26" spans="1:26" ht="20.25" customHeight="1" x14ac:dyDescent="0.25">
      <c r="B26" s="121" t="s">
        <v>37</v>
      </c>
      <c r="C26" s="122" t="s">
        <v>38</v>
      </c>
      <c r="D26" s="122"/>
      <c r="E26" s="122"/>
      <c r="F26" s="122"/>
      <c r="G26" s="122"/>
      <c r="H26" s="116"/>
      <c r="I26" s="116"/>
      <c r="J26" s="116"/>
      <c r="K26" s="116"/>
      <c r="L26" s="116"/>
      <c r="M26" s="116"/>
      <c r="N26" s="116"/>
      <c r="O26" s="117"/>
      <c r="R26" s="108"/>
      <c r="S26" s="108"/>
      <c r="T26" s="108"/>
      <c r="U26" s="108"/>
      <c r="V26" s="108"/>
      <c r="W26" s="108"/>
      <c r="X26" s="108"/>
      <c r="Y26" s="108"/>
      <c r="Z26" s="108"/>
    </row>
  </sheetData>
  <sheetProtection sheet="1"/>
  <mergeCells count="13">
    <mergeCell ref="A3:Q3"/>
    <mergeCell ref="A5:G5"/>
    <mergeCell ref="C24:O24"/>
    <mergeCell ref="B23:O23"/>
    <mergeCell ref="A18:P18"/>
    <mergeCell ref="A9:B9"/>
    <mergeCell ref="A8:B8"/>
    <mergeCell ref="A7:B7"/>
    <mergeCell ref="B21:F21"/>
    <mergeCell ref="C15:I15"/>
    <mergeCell ref="J15:M15"/>
    <mergeCell ref="C16:I16"/>
    <mergeCell ref="J16:M16"/>
  </mergeCells>
  <dataValidations count="1">
    <dataValidation type="list" allowBlank="1" showInputMessage="1" showErrorMessage="1" promptTitle="Select" sqref="A7:B7" xr:uid="{E14A5077-7628-414C-87E7-F83644A5C9E1}">
      <formula1>"Select Class, Other than Zone Rated, Zone Rated"</formula1>
    </dataValidation>
  </dataValidations>
  <printOptions horizontalCentered="1"/>
  <pageMargins left="0.5" right="0.5" top="0.5" bottom="0.5" header="0.3" footer="0.3"/>
  <pageSetup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860E-016A-48EA-8855-B152D32401EC}">
  <sheetPr codeName="Sheet3"/>
  <dimension ref="A1:AC66"/>
  <sheetViews>
    <sheetView showGridLines="0" showZeros="0" tabSelected="1" zoomScaleNormal="100" workbookViewId="0">
      <selection activeCell="S6" sqref="S6"/>
    </sheetView>
  </sheetViews>
  <sheetFormatPr defaultRowHeight="15" x14ac:dyDescent="0.25"/>
  <cols>
    <col min="1" max="1" width="4" customWidth="1"/>
    <col min="2" max="2" width="3.28515625" customWidth="1"/>
    <col min="3" max="3" width="9.5703125" customWidth="1"/>
    <col min="4" max="4" width="13.7109375" customWidth="1"/>
    <col min="5" max="5" width="4.28515625" customWidth="1"/>
    <col min="6" max="6" width="12.7109375" customWidth="1"/>
    <col min="7" max="7" width="4.85546875" customWidth="1"/>
    <col min="8" max="8" width="12.140625" customWidth="1"/>
    <col min="9" max="9" width="5.42578125" customWidth="1"/>
    <col min="10" max="10" width="10.140625" customWidth="1"/>
    <col min="11" max="11" width="4.28515625" customWidth="1"/>
    <col min="12" max="12" width="11.140625" customWidth="1"/>
    <col min="13" max="13" width="3.5703125" customWidth="1"/>
    <col min="14" max="14" width="11.42578125" customWidth="1"/>
    <col min="15" max="15" width="5.7109375" customWidth="1"/>
    <col min="16" max="16" width="13.140625" customWidth="1"/>
    <col min="17" max="17" width="2.28515625" hidden="1" customWidth="1"/>
    <col min="18" max="18" width="5.28515625" customWidth="1"/>
    <col min="19" max="19" width="11.140625" customWidth="1"/>
    <col min="20" max="20" width="5.28515625" customWidth="1"/>
    <col min="21" max="24" width="9.140625" hidden="1" customWidth="1"/>
    <col min="25" max="26" width="9.7109375" hidden="1" customWidth="1"/>
    <col min="27" max="27" width="10.28515625" hidden="1" customWidth="1"/>
    <col min="28" max="29" width="9.140625" hidden="1" customWidth="1"/>
  </cols>
  <sheetData>
    <row r="1" spans="1:19" x14ac:dyDescent="0.25">
      <c r="A1" s="107"/>
    </row>
    <row r="2" spans="1:19" ht="23.25" customHeight="1" x14ac:dyDescent="0.25"/>
    <row r="3" spans="1:19" ht="15.75" customHeight="1" x14ac:dyDescent="0.25">
      <c r="A3" s="172" t="s">
        <v>152</v>
      </c>
      <c r="B3" s="168"/>
      <c r="C3" s="168"/>
      <c r="D3" s="168"/>
      <c r="E3" s="168"/>
      <c r="F3" s="168"/>
      <c r="G3" s="168"/>
      <c r="H3" s="168"/>
      <c r="I3" s="168"/>
      <c r="J3" s="168"/>
      <c r="K3" s="168"/>
      <c r="L3" s="168"/>
      <c r="M3" s="168"/>
      <c r="N3" s="168"/>
      <c r="O3" s="168"/>
      <c r="P3" s="168"/>
      <c r="Q3" s="168"/>
      <c r="R3" s="168"/>
      <c r="S3" s="168"/>
    </row>
    <row r="4" spans="1:19" x14ac:dyDescent="0.25">
      <c r="A4" s="111" t="s">
        <v>44</v>
      </c>
      <c r="B4" s="113"/>
    </row>
    <row r="5" spans="1:19" x14ac:dyDescent="0.25">
      <c r="A5" s="114"/>
      <c r="B5" s="113"/>
      <c r="C5" s="113"/>
      <c r="D5" s="113"/>
    </row>
    <row r="6" spans="1:19" ht="15" customHeight="1" x14ac:dyDescent="0.25">
      <c r="A6" s="199" t="s">
        <v>45</v>
      </c>
      <c r="B6" s="168"/>
      <c r="C6" s="168"/>
      <c r="D6" s="168"/>
      <c r="E6" s="168"/>
      <c r="F6" s="168"/>
      <c r="G6" s="168"/>
      <c r="H6" s="168"/>
      <c r="I6" s="168"/>
      <c r="J6" s="168"/>
    </row>
    <row r="7" spans="1:19" ht="36" customHeight="1" x14ac:dyDescent="0.25">
      <c r="C7" s="114" t="s">
        <v>46</v>
      </c>
      <c r="D7" s="114"/>
      <c r="E7" s="114"/>
      <c r="F7" s="114"/>
      <c r="G7" s="114"/>
      <c r="H7" s="114"/>
      <c r="J7" s="34" t="s">
        <v>47</v>
      </c>
      <c r="K7" s="44"/>
      <c r="L7" s="34" t="s">
        <v>48</v>
      </c>
      <c r="M7" s="44"/>
      <c r="N7" s="44"/>
      <c r="O7" s="44"/>
      <c r="P7" s="45" t="s">
        <v>49</v>
      </c>
    </row>
    <row r="8" spans="1:19" ht="39.75" customHeight="1" x14ac:dyDescent="0.25">
      <c r="C8" s="197" t="s">
        <v>50</v>
      </c>
      <c r="D8" s="197"/>
      <c r="E8" s="197"/>
      <c r="F8" s="197"/>
      <c r="G8" s="197"/>
      <c r="H8" s="197"/>
      <c r="I8" s="46"/>
    </row>
    <row r="9" spans="1:19" x14ac:dyDescent="0.25">
      <c r="B9" s="47"/>
      <c r="C9" s="22" t="s">
        <v>51</v>
      </c>
      <c r="D9" s="22"/>
      <c r="E9" s="22"/>
      <c r="F9" s="22"/>
      <c r="G9" s="22"/>
      <c r="H9" s="22"/>
      <c r="I9" s="48"/>
      <c r="J9" s="44"/>
      <c r="L9" s="44"/>
    </row>
    <row r="10" spans="1:19" x14ac:dyDescent="0.25">
      <c r="B10" s="47"/>
      <c r="C10" s="187"/>
      <c r="D10" s="201"/>
      <c r="E10" s="201"/>
      <c r="F10" s="201"/>
      <c r="G10" s="201"/>
      <c r="H10" s="201"/>
      <c r="J10" s="48">
        <v>1</v>
      </c>
      <c r="K10" s="44" t="s">
        <v>16</v>
      </c>
      <c r="L10" s="80"/>
      <c r="M10" s="44" t="s">
        <v>17</v>
      </c>
      <c r="N10" s="44"/>
      <c r="O10" s="44"/>
      <c r="P10" s="78">
        <f>IF(C10="",0,IF(L10="",J10,IF(L10&gt;0,J10*L10,J10)))</f>
        <v>0</v>
      </c>
    </row>
    <row r="11" spans="1:19" x14ac:dyDescent="0.25">
      <c r="B11" s="47"/>
      <c r="C11" s="188"/>
      <c r="D11" s="202"/>
      <c r="E11" s="202"/>
      <c r="F11" s="202"/>
      <c r="G11" s="202"/>
      <c r="H11" s="202"/>
      <c r="J11" s="48">
        <v>1</v>
      </c>
      <c r="K11" s="44" t="s">
        <v>16</v>
      </c>
      <c r="L11" s="81"/>
      <c r="M11" s="44" t="s">
        <v>17</v>
      </c>
      <c r="N11" s="44"/>
      <c r="O11" s="44"/>
      <c r="P11" s="78">
        <f>IF(C11="",0,IF(L11="",J11,IF(L11&gt;0,J11*L11,J11)))</f>
        <v>0</v>
      </c>
    </row>
    <row r="12" spans="1:19" x14ac:dyDescent="0.25">
      <c r="B12" s="47"/>
      <c r="C12" s="187"/>
      <c r="D12" s="201"/>
      <c r="E12" s="201"/>
      <c r="F12" s="201"/>
      <c r="G12" s="201"/>
      <c r="H12" s="201"/>
      <c r="J12" s="48">
        <v>1</v>
      </c>
      <c r="K12" s="44" t="s">
        <v>16</v>
      </c>
      <c r="L12" s="81">
        <v>0</v>
      </c>
      <c r="M12" s="44" t="s">
        <v>17</v>
      </c>
      <c r="N12" s="44"/>
      <c r="O12" s="44"/>
      <c r="P12" s="78">
        <f>IF(C12="",0,IF(L12="",J12,IF(L12&gt;0,J12*L12,J12)))</f>
        <v>0</v>
      </c>
    </row>
    <row r="13" spans="1:19" x14ac:dyDescent="0.25">
      <c r="B13" s="47"/>
      <c r="C13" s="22" t="s">
        <v>52</v>
      </c>
      <c r="D13" s="22"/>
      <c r="E13" s="22"/>
      <c r="F13" s="22"/>
      <c r="G13" s="22"/>
      <c r="H13" s="22"/>
      <c r="J13" s="48"/>
      <c r="K13" s="44"/>
      <c r="L13" s="82"/>
      <c r="M13" s="44"/>
      <c r="N13" s="44"/>
      <c r="O13" s="44"/>
      <c r="P13" s="79"/>
    </row>
    <row r="14" spans="1:19" x14ac:dyDescent="0.25">
      <c r="B14" s="47"/>
      <c r="C14" s="187"/>
      <c r="D14" s="190"/>
      <c r="E14" s="190"/>
      <c r="F14" s="190"/>
      <c r="G14" s="190"/>
      <c r="H14" s="190"/>
      <c r="J14" s="48">
        <v>0.5</v>
      </c>
      <c r="K14" s="44" t="s">
        <v>16</v>
      </c>
      <c r="L14" s="80">
        <v>0</v>
      </c>
      <c r="M14" s="44" t="s">
        <v>17</v>
      </c>
      <c r="N14" s="44"/>
      <c r="O14" s="44"/>
      <c r="P14" s="78">
        <f>IF(C14="",0,IF(L14="",J14,IF(L14&gt;0,J14*L14,J14)))</f>
        <v>0</v>
      </c>
    </row>
    <row r="15" spans="1:19" x14ac:dyDescent="0.25">
      <c r="B15" s="47"/>
      <c r="C15" s="188"/>
      <c r="D15" s="188"/>
      <c r="E15" s="188"/>
      <c r="F15" s="188"/>
      <c r="G15" s="188"/>
      <c r="H15" s="188"/>
      <c r="J15" s="48">
        <v>0.5</v>
      </c>
      <c r="K15" s="44" t="s">
        <v>16</v>
      </c>
      <c r="L15" s="81"/>
      <c r="M15" s="44" t="s">
        <v>17</v>
      </c>
      <c r="N15" s="44"/>
      <c r="O15" s="44"/>
      <c r="P15" s="78">
        <f>IF(C15="",0,IF(L15="",J15,IF(L15&gt;0,J15*L15,J15)))</f>
        <v>0</v>
      </c>
    </row>
    <row r="16" spans="1:19" x14ac:dyDescent="0.25">
      <c r="B16" s="47"/>
      <c r="C16" s="188"/>
      <c r="D16" s="188"/>
      <c r="E16" s="188"/>
      <c r="F16" s="188"/>
      <c r="G16" s="188"/>
      <c r="H16" s="188"/>
      <c r="J16" s="48">
        <v>0.5</v>
      </c>
      <c r="K16" s="44" t="s">
        <v>16</v>
      </c>
      <c r="L16" s="81"/>
      <c r="M16" s="44" t="s">
        <v>17</v>
      </c>
      <c r="N16" s="44"/>
      <c r="O16" s="44"/>
      <c r="P16" s="78">
        <f>IF(C16="",0,IF(L16="",J16,IF(L16&gt;0,J16*L16,J16)))</f>
        <v>0</v>
      </c>
    </row>
    <row r="17" spans="2:16" x14ac:dyDescent="0.25">
      <c r="C17" s="206" t="s">
        <v>53</v>
      </c>
      <c r="D17" s="206"/>
      <c r="E17" s="153"/>
      <c r="F17" s="153"/>
      <c r="G17" s="153"/>
      <c r="H17" s="153"/>
      <c r="J17" s="48"/>
      <c r="L17" s="11"/>
      <c r="P17" s="39"/>
    </row>
    <row r="18" spans="2:16" x14ac:dyDescent="0.25">
      <c r="B18" s="47"/>
      <c r="C18" s="22" t="s">
        <v>51</v>
      </c>
      <c r="D18" s="22"/>
      <c r="E18" s="22"/>
      <c r="F18" s="22"/>
      <c r="G18" s="22"/>
      <c r="H18" s="22"/>
      <c r="J18" s="48"/>
      <c r="K18" s="44"/>
      <c r="L18" s="11"/>
      <c r="M18" s="44"/>
      <c r="N18" s="44"/>
      <c r="O18" s="44"/>
      <c r="P18" s="39"/>
    </row>
    <row r="19" spans="2:16" x14ac:dyDescent="0.25">
      <c r="B19" s="47"/>
      <c r="C19" s="187"/>
      <c r="D19" s="190"/>
      <c r="E19" s="190"/>
      <c r="F19" s="190"/>
      <c r="G19" s="190"/>
      <c r="H19" s="190"/>
      <c r="J19" s="48">
        <v>0.4</v>
      </c>
      <c r="K19" s="44" t="s">
        <v>16</v>
      </c>
      <c r="L19" s="80">
        <v>0</v>
      </c>
      <c r="M19" s="44" t="s">
        <v>17</v>
      </c>
      <c r="N19" s="44"/>
      <c r="O19" s="44"/>
      <c r="P19" s="78">
        <f>IF(C19="",0,IF(L19="",J19,IF(L19&gt;0,J19*L19,J19)))</f>
        <v>0</v>
      </c>
    </row>
    <row r="20" spans="2:16" x14ac:dyDescent="0.25">
      <c r="B20" s="47"/>
      <c r="C20" s="188"/>
      <c r="D20" s="188"/>
      <c r="E20" s="188"/>
      <c r="F20" s="188"/>
      <c r="G20" s="188"/>
      <c r="H20" s="188"/>
      <c r="J20" s="48">
        <v>0.4</v>
      </c>
      <c r="K20" s="44" t="s">
        <v>16</v>
      </c>
      <c r="L20" s="81"/>
      <c r="M20" s="44" t="s">
        <v>17</v>
      </c>
      <c r="N20" s="44"/>
      <c r="O20" s="44"/>
      <c r="P20" s="78">
        <f>IF(C20="",0,IF(L20="",J20,IF(L20&gt;0,J20*L20,J20)))</f>
        <v>0</v>
      </c>
    </row>
    <row r="21" spans="2:16" x14ac:dyDescent="0.25">
      <c r="B21" s="47"/>
      <c r="C21" s="188"/>
      <c r="D21" s="188"/>
      <c r="E21" s="188"/>
      <c r="F21" s="188"/>
      <c r="G21" s="188"/>
      <c r="H21" s="188"/>
      <c r="J21" s="48">
        <v>0.4</v>
      </c>
      <c r="K21" s="44" t="s">
        <v>16</v>
      </c>
      <c r="L21" s="81"/>
      <c r="M21" s="44" t="s">
        <v>17</v>
      </c>
      <c r="N21" s="44"/>
      <c r="O21" s="44"/>
      <c r="P21" s="78">
        <f>IF(C21="",0,IF(L21="",J21,IF(L21&gt;0,J21*L21,J21)))</f>
        <v>0</v>
      </c>
    </row>
    <row r="22" spans="2:16" x14ac:dyDescent="0.25">
      <c r="B22" s="47"/>
      <c r="C22" s="22" t="s">
        <v>52</v>
      </c>
      <c r="D22" s="22"/>
      <c r="E22" s="22"/>
      <c r="F22" s="22"/>
      <c r="G22" s="22"/>
      <c r="H22" s="22"/>
      <c r="J22" s="48"/>
      <c r="K22" s="44"/>
      <c r="L22" s="82"/>
      <c r="M22" s="44"/>
      <c r="N22" s="44"/>
      <c r="O22" s="44"/>
      <c r="P22" s="79"/>
    </row>
    <row r="23" spans="2:16" x14ac:dyDescent="0.25">
      <c r="B23" s="47"/>
      <c r="C23" s="187"/>
      <c r="D23" s="190"/>
      <c r="E23" s="190"/>
      <c r="F23" s="190"/>
      <c r="G23" s="190"/>
      <c r="H23" s="190"/>
      <c r="J23" s="48">
        <v>0.2</v>
      </c>
      <c r="K23" s="44" t="s">
        <v>16</v>
      </c>
      <c r="L23" s="80"/>
      <c r="M23" s="44" t="s">
        <v>17</v>
      </c>
      <c r="N23" s="44"/>
      <c r="O23" s="44"/>
      <c r="P23" s="78">
        <f>IF(C23="",0,IF(L23="",J23,IF(L23&gt;0,J23*L23,J23)))</f>
        <v>0</v>
      </c>
    </row>
    <row r="24" spans="2:16" x14ac:dyDescent="0.25">
      <c r="B24" s="47"/>
      <c r="C24" s="188"/>
      <c r="D24" s="188"/>
      <c r="E24" s="188"/>
      <c r="F24" s="188"/>
      <c r="G24" s="188"/>
      <c r="H24" s="188"/>
      <c r="J24" s="48">
        <v>0.2</v>
      </c>
      <c r="K24" s="44" t="s">
        <v>16</v>
      </c>
      <c r="L24" s="81"/>
      <c r="M24" s="44" t="s">
        <v>17</v>
      </c>
      <c r="N24" s="44"/>
      <c r="O24" s="44"/>
      <c r="P24" s="78">
        <f>IF(C24="",0,IF(L24="",J24,IF(L24&gt;0,J24*L24,J24)))</f>
        <v>0</v>
      </c>
    </row>
    <row r="25" spans="2:16" x14ac:dyDescent="0.25">
      <c r="B25" s="47"/>
      <c r="C25" s="188"/>
      <c r="D25" s="188"/>
      <c r="E25" s="188"/>
      <c r="F25" s="188"/>
      <c r="G25" s="188"/>
      <c r="H25" s="188"/>
      <c r="J25" s="48">
        <v>0.2</v>
      </c>
      <c r="K25" s="44" t="s">
        <v>16</v>
      </c>
      <c r="L25" s="81"/>
      <c r="M25" s="44" t="s">
        <v>17</v>
      </c>
      <c r="N25" s="44"/>
      <c r="O25" s="44"/>
      <c r="P25" s="78">
        <f>IF(C25="",0,IF(L25="",J25,IF(L25&gt;0,J25*L25,J25)))</f>
        <v>0</v>
      </c>
    </row>
    <row r="26" spans="2:16" x14ac:dyDescent="0.25">
      <c r="C26" s="49" t="s">
        <v>54</v>
      </c>
      <c r="D26" s="49"/>
      <c r="E26" s="49"/>
      <c r="F26" s="49"/>
      <c r="G26" s="49"/>
      <c r="H26" s="49"/>
      <c r="J26" s="48"/>
      <c r="L26" s="11"/>
      <c r="P26" s="39"/>
    </row>
    <row r="27" spans="2:16" ht="25.5" customHeight="1" x14ac:dyDescent="0.25">
      <c r="C27" s="197" t="s">
        <v>55</v>
      </c>
      <c r="D27" s="197"/>
      <c r="E27" s="198"/>
      <c r="F27" s="198"/>
      <c r="G27" s="198"/>
      <c r="H27" s="198"/>
      <c r="J27" s="48"/>
      <c r="L27" s="11"/>
      <c r="P27" s="39"/>
    </row>
    <row r="28" spans="2:16" x14ac:dyDescent="0.25">
      <c r="B28" s="47"/>
      <c r="C28" s="200" t="s">
        <v>56</v>
      </c>
      <c r="D28" s="207"/>
      <c r="E28" s="22"/>
      <c r="F28" s="22"/>
      <c r="G28" s="22"/>
      <c r="H28" s="22"/>
      <c r="J28" s="48"/>
      <c r="K28" s="44"/>
      <c r="L28" s="11"/>
      <c r="M28" s="44"/>
      <c r="N28" s="44"/>
      <c r="O28" s="44"/>
      <c r="P28" s="39"/>
    </row>
    <row r="29" spans="2:16" x14ac:dyDescent="0.25">
      <c r="B29" s="47"/>
      <c r="C29" s="187"/>
      <c r="D29" s="190"/>
      <c r="E29" s="190"/>
      <c r="F29" s="190"/>
      <c r="G29" s="190"/>
      <c r="H29" s="190"/>
      <c r="J29" s="48">
        <v>1.1499999999999999</v>
      </c>
      <c r="K29" s="44" t="s">
        <v>16</v>
      </c>
      <c r="L29" s="80"/>
      <c r="M29" s="44" t="s">
        <v>17</v>
      </c>
      <c r="N29" s="44"/>
      <c r="O29" s="44"/>
      <c r="P29" s="78">
        <f>IF(C29="",0,IF(L29="",J29,IF(L29&gt;0,J29*L29,J29)))</f>
        <v>0</v>
      </c>
    </row>
    <row r="30" spans="2:16" x14ac:dyDescent="0.25">
      <c r="B30" s="47"/>
      <c r="C30" s="188"/>
      <c r="D30" s="188"/>
      <c r="E30" s="188"/>
      <c r="F30" s="188"/>
      <c r="G30" s="188"/>
      <c r="H30" s="188"/>
      <c r="J30" s="48">
        <v>1.1499999999999999</v>
      </c>
      <c r="K30" s="44" t="s">
        <v>16</v>
      </c>
      <c r="L30" s="81"/>
      <c r="M30" s="44" t="s">
        <v>17</v>
      </c>
      <c r="N30" s="44"/>
      <c r="O30" s="44"/>
      <c r="P30" s="78">
        <f>IF(C30="",0,IF(L30="",J30,IF(L30&gt;0,J30*L30,J30)))</f>
        <v>0</v>
      </c>
    </row>
    <row r="31" spans="2:16" x14ac:dyDescent="0.25">
      <c r="B31" s="47"/>
      <c r="C31" s="188"/>
      <c r="D31" s="188"/>
      <c r="E31" s="188"/>
      <c r="F31" s="188"/>
      <c r="G31" s="188"/>
      <c r="H31" s="188"/>
      <c r="J31" s="48">
        <v>1.1499999999999999</v>
      </c>
      <c r="K31" s="44" t="s">
        <v>16</v>
      </c>
      <c r="L31" s="81"/>
      <c r="M31" s="44" t="s">
        <v>17</v>
      </c>
      <c r="N31" s="44"/>
      <c r="O31" s="44"/>
      <c r="P31" s="78">
        <f>IF(C31="",0,IF(L31="",J31,IF(L31&gt;0,J31*L31,J31)))</f>
        <v>0</v>
      </c>
    </row>
    <row r="32" spans="2:16" x14ac:dyDescent="0.25">
      <c r="B32" s="50"/>
      <c r="C32" s="191" t="s">
        <v>57</v>
      </c>
      <c r="D32" s="192"/>
      <c r="E32" s="22"/>
      <c r="F32" s="22"/>
      <c r="G32" s="22"/>
      <c r="H32" s="22"/>
      <c r="J32" s="51"/>
      <c r="K32" s="44"/>
      <c r="L32" s="82"/>
      <c r="M32" s="44"/>
      <c r="N32" s="44"/>
      <c r="O32" s="44"/>
      <c r="P32" s="79"/>
    </row>
    <row r="33" spans="1:28" x14ac:dyDescent="0.25">
      <c r="B33" s="50"/>
      <c r="C33" s="187"/>
      <c r="D33" s="187"/>
      <c r="E33" s="187"/>
      <c r="F33" s="187"/>
      <c r="G33" s="187"/>
      <c r="H33" s="187"/>
      <c r="J33" s="51">
        <v>0.5</v>
      </c>
      <c r="K33" s="44" t="s">
        <v>16</v>
      </c>
      <c r="L33" s="80"/>
      <c r="M33" s="44" t="s">
        <v>17</v>
      </c>
      <c r="N33" s="44"/>
      <c r="O33" s="44"/>
      <c r="P33" s="78">
        <f>IF(C33="",0,IF(L33="",J33,IF(L33&gt;0,J33*L33,J33)))</f>
        <v>0</v>
      </c>
    </row>
    <row r="34" spans="1:28" x14ac:dyDescent="0.25">
      <c r="B34" s="50"/>
      <c r="C34" s="188"/>
      <c r="D34" s="188"/>
      <c r="E34" s="188"/>
      <c r="F34" s="188"/>
      <c r="G34" s="188"/>
      <c r="H34" s="188"/>
      <c r="J34" s="51">
        <v>0.5</v>
      </c>
      <c r="K34" s="44" t="s">
        <v>16</v>
      </c>
      <c r="L34" s="81"/>
      <c r="M34" s="44" t="s">
        <v>17</v>
      </c>
      <c r="N34" s="44"/>
      <c r="O34" s="44"/>
      <c r="P34" s="78">
        <f>IF(C34="",0,IF(L34="",J34,IF(L34&gt;0,J34*L34,J34)))</f>
        <v>0</v>
      </c>
    </row>
    <row r="35" spans="1:28" x14ac:dyDescent="0.25">
      <c r="C35" s="189"/>
      <c r="D35" s="189"/>
      <c r="E35" s="189"/>
      <c r="F35" s="189"/>
      <c r="G35" s="189"/>
      <c r="H35" s="189"/>
      <c r="J35" s="51">
        <v>0.5</v>
      </c>
      <c r="K35" s="44" t="s">
        <v>16</v>
      </c>
      <c r="L35" s="81"/>
      <c r="M35" s="44" t="s">
        <v>17</v>
      </c>
      <c r="N35" s="44"/>
      <c r="O35" s="44"/>
      <c r="P35" s="78">
        <f>IF(C35="",0,IF(L35="",J35,IF(L35&gt;0,J35*L35,J35)))</f>
        <v>0</v>
      </c>
    </row>
    <row r="36" spans="1:28" x14ac:dyDescent="0.25">
      <c r="I36" s="48"/>
      <c r="J36" s="13"/>
      <c r="K36" s="52"/>
      <c r="L36" s="35"/>
      <c r="P36" s="48"/>
      <c r="Q36" s="22"/>
      <c r="R36" s="157"/>
    </row>
    <row r="37" spans="1:28" x14ac:dyDescent="0.25">
      <c r="F37" s="152"/>
      <c r="G37" s="152"/>
      <c r="I37" s="155"/>
      <c r="J37" s="195" t="s">
        <v>58</v>
      </c>
      <c r="K37" s="170"/>
      <c r="L37" s="170"/>
      <c r="P37" s="37">
        <f>IF(P10+P11+P12+P14+P15+P16+P19+P20+P21+P23+P24+P29+P30+P31+P33+P34+P35=0,0,IF(P10+P11+P12+P14+P15+P16+P19+P20+P21+P23+P24+P29+P30+P31+P33+P34+P35&lt;2,2,P10+P11+P12+P14+P15+P16+P19+P20+P21+P23+P24+P29+P30+P31+P33+P34+P35))</f>
        <v>0</v>
      </c>
      <c r="Q37" s="22"/>
      <c r="R37" s="186" t="s">
        <v>59</v>
      </c>
      <c r="S37" s="168"/>
    </row>
    <row r="38" spans="1:28" x14ac:dyDescent="0.25">
      <c r="C38" s="152"/>
      <c r="D38" s="152"/>
      <c r="E38" s="152"/>
      <c r="F38" s="152"/>
      <c r="G38" s="152"/>
      <c r="H38" s="152"/>
      <c r="I38" s="48"/>
      <c r="J38" s="13"/>
      <c r="K38" s="52"/>
      <c r="L38" s="35"/>
      <c r="M38" s="53"/>
      <c r="N38" s="53"/>
      <c r="O38" s="53"/>
      <c r="P38" s="22"/>
      <c r="Q38" s="22"/>
      <c r="R38" s="157"/>
      <c r="Y38" s="41">
        <v>0</v>
      </c>
      <c r="Z38" s="41"/>
      <c r="AA38" s="41">
        <v>0</v>
      </c>
      <c r="AB38" s="43">
        <v>0</v>
      </c>
    </row>
    <row r="39" spans="1:28" x14ac:dyDescent="0.25">
      <c r="A39" s="193" t="s">
        <v>60</v>
      </c>
      <c r="B39" s="194"/>
      <c r="C39" s="194"/>
      <c r="D39" s="194"/>
      <c r="E39" s="194"/>
      <c r="F39" s="194"/>
      <c r="G39" s="194"/>
      <c r="I39" s="154"/>
      <c r="J39" s="154"/>
      <c r="K39" s="154"/>
      <c r="L39" s="154"/>
      <c r="M39" s="154"/>
      <c r="N39" s="154"/>
      <c r="O39" s="154"/>
      <c r="P39" s="34" t="s">
        <v>61</v>
      </c>
      <c r="Q39" s="154"/>
      <c r="R39" s="154"/>
      <c r="Y39" s="38" t="s">
        <v>62</v>
      </c>
      <c r="Z39" s="38"/>
      <c r="AA39" s="22">
        <f>VALUE(LEFT(Y39,1))</f>
        <v>1</v>
      </c>
      <c r="AB39" s="39">
        <v>0.05</v>
      </c>
    </row>
    <row r="40" spans="1:28" x14ac:dyDescent="0.25">
      <c r="A40" s="154"/>
      <c r="C40" s="200" t="s">
        <v>63</v>
      </c>
      <c r="D40" s="200"/>
      <c r="E40" s="200"/>
      <c r="F40" s="200"/>
      <c r="G40" s="200"/>
      <c r="H40" s="200"/>
      <c r="I40" s="168"/>
      <c r="J40" s="168"/>
      <c r="K40" s="154"/>
      <c r="L40" s="154"/>
      <c r="P40" s="42">
        <v>0</v>
      </c>
      <c r="Q40" s="154"/>
      <c r="R40" s="154"/>
      <c r="Y40" s="38" t="s">
        <v>64</v>
      </c>
      <c r="Z40" s="38"/>
      <c r="AA40" s="22">
        <v>6</v>
      </c>
      <c r="AB40" s="39">
        <v>0.15</v>
      </c>
    </row>
    <row r="41" spans="1:28" ht="14.25" customHeight="1" x14ac:dyDescent="0.25">
      <c r="C41" s="200" t="s">
        <v>65</v>
      </c>
      <c r="D41" s="204"/>
      <c r="E41" s="204"/>
      <c r="F41" s="204"/>
      <c r="G41" s="54"/>
      <c r="H41" s="54"/>
      <c r="I41" s="41"/>
      <c r="J41" s="41"/>
      <c r="K41" s="41"/>
      <c r="L41" s="22"/>
      <c r="P41" s="55">
        <f>VLOOKUP(VALUE(LEFT(P40,3)),AA38:AB45,2)</f>
        <v>0</v>
      </c>
      <c r="Q41" s="56"/>
      <c r="R41" s="157"/>
      <c r="Y41" s="38" t="s">
        <v>66</v>
      </c>
      <c r="Z41" s="38"/>
      <c r="AA41" s="22">
        <v>16</v>
      </c>
      <c r="AB41" s="39">
        <v>0.25</v>
      </c>
    </row>
    <row r="42" spans="1:28" ht="15" customHeight="1" x14ac:dyDescent="0.25">
      <c r="A42" s="22"/>
      <c r="G42" s="57"/>
      <c r="H42" s="57"/>
      <c r="I42" s="22"/>
      <c r="J42" s="22"/>
      <c r="K42" s="22"/>
      <c r="L42" s="22"/>
      <c r="P42" s="35"/>
      <c r="Q42" s="56"/>
      <c r="R42" s="56"/>
      <c r="Y42" s="38" t="s">
        <v>67</v>
      </c>
      <c r="Z42" s="38"/>
      <c r="AA42" s="22">
        <v>26</v>
      </c>
      <c r="AB42" s="40">
        <v>0.5</v>
      </c>
    </row>
    <row r="43" spans="1:28" ht="15" customHeight="1" x14ac:dyDescent="0.25">
      <c r="B43" s="154"/>
      <c r="G43" s="154"/>
      <c r="I43" s="156"/>
      <c r="J43" s="156"/>
      <c r="K43" s="196" t="s">
        <v>68</v>
      </c>
      <c r="L43" s="170"/>
      <c r="P43" s="37">
        <f>P37+P41</f>
        <v>0</v>
      </c>
      <c r="Q43" s="58"/>
      <c r="R43" s="15"/>
      <c r="Y43" s="38" t="s">
        <v>69</v>
      </c>
      <c r="Z43" s="38"/>
      <c r="AA43" s="22">
        <v>51</v>
      </c>
      <c r="AB43" s="40">
        <v>0.75</v>
      </c>
    </row>
    <row r="44" spans="1:28" ht="15" customHeight="1" x14ac:dyDescent="0.25">
      <c r="B44" s="154"/>
      <c r="C44" s="154"/>
      <c r="D44" s="154"/>
      <c r="E44" s="154"/>
      <c r="F44" s="154"/>
      <c r="G44" s="154"/>
      <c r="H44" s="154"/>
      <c r="I44" s="154"/>
      <c r="J44" s="154"/>
      <c r="K44" s="154"/>
      <c r="L44" s="154"/>
      <c r="P44" s="48"/>
      <c r="Q44" s="58"/>
      <c r="R44" s="15"/>
      <c r="Y44" s="38" t="s">
        <v>70</v>
      </c>
      <c r="Z44" s="38"/>
      <c r="AA44" s="22">
        <v>76</v>
      </c>
      <c r="AB44" s="40">
        <v>1</v>
      </c>
    </row>
    <row r="45" spans="1:28" ht="15" customHeight="1" x14ac:dyDescent="0.45">
      <c r="A45" s="84" t="s">
        <v>71</v>
      </c>
      <c r="B45" s="85"/>
      <c r="C45" s="85"/>
      <c r="D45" s="85"/>
      <c r="G45" s="154"/>
      <c r="H45" s="154"/>
      <c r="P45" s="36"/>
      <c r="Q45" s="59"/>
      <c r="R45" s="83"/>
      <c r="Y45" s="38" t="s">
        <v>72</v>
      </c>
      <c r="Z45" s="38"/>
      <c r="AA45" s="22">
        <v>101</v>
      </c>
      <c r="AB45" s="40">
        <v>1.5</v>
      </c>
    </row>
    <row r="46" spans="1:28" ht="15" customHeight="1" x14ac:dyDescent="0.45">
      <c r="B46" s="154"/>
      <c r="C46" s="84"/>
      <c r="D46" s="85"/>
      <c r="E46" s="85"/>
      <c r="F46" s="85"/>
      <c r="G46" s="154"/>
      <c r="H46" s="154"/>
      <c r="P46" s="88"/>
      <c r="Q46" s="53"/>
      <c r="R46" s="83"/>
      <c r="Y46" s="38"/>
      <c r="Z46" s="38"/>
      <c r="AA46" s="22"/>
      <c r="AB46" s="40"/>
    </row>
    <row r="47" spans="1:28" ht="44.1" customHeight="1" x14ac:dyDescent="0.25">
      <c r="A47" s="170" t="s">
        <v>73</v>
      </c>
      <c r="B47" s="168"/>
      <c r="C47" s="168"/>
      <c r="D47" s="168"/>
      <c r="E47" s="168"/>
      <c r="F47" s="168"/>
      <c r="G47" s="168"/>
      <c r="H47" s="168"/>
      <c r="I47" s="168"/>
      <c r="J47" s="168"/>
      <c r="K47" s="168"/>
      <c r="L47" s="168"/>
      <c r="M47" s="168"/>
      <c r="N47" s="168"/>
      <c r="O47" s="168"/>
      <c r="P47" s="168"/>
    </row>
    <row r="48" spans="1:28" ht="13.5" customHeight="1" x14ac:dyDescent="0.25">
      <c r="C48" s="89"/>
      <c r="D48" s="89"/>
      <c r="E48" s="89"/>
      <c r="F48" s="89"/>
      <c r="G48" s="89"/>
      <c r="H48" s="89"/>
      <c r="I48" s="89"/>
      <c r="J48" s="89"/>
      <c r="K48" s="89"/>
      <c r="L48" s="89"/>
      <c r="M48" s="89"/>
      <c r="N48" s="89"/>
      <c r="O48" s="89"/>
      <c r="P48" s="89"/>
    </row>
    <row r="49" spans="1:28" x14ac:dyDescent="0.25">
      <c r="A49" s="110" t="s">
        <v>74</v>
      </c>
      <c r="B49" s="68"/>
      <c r="C49" s="68"/>
      <c r="D49" s="68"/>
      <c r="E49" s="60"/>
      <c r="F49" s="60"/>
      <c r="G49" s="60"/>
      <c r="H49" s="60"/>
      <c r="I49" s="60"/>
      <c r="J49" s="60"/>
      <c r="K49" s="60"/>
      <c r="L49" s="60"/>
      <c r="M49" s="60"/>
      <c r="N49" s="60"/>
      <c r="O49" s="60"/>
      <c r="P49" s="60"/>
      <c r="Q49" s="60"/>
      <c r="R49" s="60"/>
    </row>
    <row r="51" spans="1:28" ht="59.25" customHeight="1" x14ac:dyDescent="0.25">
      <c r="A51" s="181" t="s">
        <v>75</v>
      </c>
      <c r="B51" s="181"/>
      <c r="C51" s="168"/>
      <c r="D51" s="34" t="s">
        <v>76</v>
      </c>
      <c r="E51" s="34"/>
      <c r="F51" s="34" t="s">
        <v>77</v>
      </c>
      <c r="G51" s="34"/>
      <c r="H51" s="34" t="s">
        <v>78</v>
      </c>
      <c r="I51" s="34"/>
      <c r="J51" s="34" t="s">
        <v>79</v>
      </c>
      <c r="K51" s="34"/>
      <c r="L51" s="34" t="s">
        <v>80</v>
      </c>
      <c r="M51" s="35"/>
      <c r="N51" s="34" t="s">
        <v>9</v>
      </c>
      <c r="O51" s="35"/>
      <c r="P51" s="34" t="s">
        <v>81</v>
      </c>
      <c r="Q51" s="34" t="s">
        <v>11</v>
      </c>
      <c r="S51" s="34" t="s">
        <v>11</v>
      </c>
      <c r="U51">
        <v>1</v>
      </c>
      <c r="V51">
        <v>2</v>
      </c>
      <c r="W51">
        <v>3</v>
      </c>
      <c r="X51">
        <v>4</v>
      </c>
      <c r="Y51">
        <v>5</v>
      </c>
      <c r="Z51">
        <v>6</v>
      </c>
      <c r="AA51">
        <v>7</v>
      </c>
    </row>
    <row r="52" spans="1:28" x14ac:dyDescent="0.25">
      <c r="A52" s="167" t="s">
        <v>12</v>
      </c>
      <c r="B52" s="169"/>
      <c r="C52" s="168"/>
      <c r="D52" s="23"/>
      <c r="E52" s="17"/>
      <c r="F52" s="32" t="s">
        <v>19</v>
      </c>
      <c r="G52" s="17" t="s">
        <v>16</v>
      </c>
      <c r="H52" s="61">
        <f>P43</f>
        <v>0</v>
      </c>
      <c r="I52" s="17"/>
      <c r="J52" s="32" t="s">
        <v>19</v>
      </c>
      <c r="K52" s="17" t="s">
        <v>16</v>
      </c>
      <c r="L52" s="25"/>
      <c r="M52" s="17" t="s">
        <v>16</v>
      </c>
      <c r="N52" s="25"/>
      <c r="O52" s="17" t="s">
        <v>16</v>
      </c>
      <c r="P52" s="25"/>
      <c r="Q52" s="17" t="s">
        <v>17</v>
      </c>
      <c r="R52" s="17" t="s">
        <v>17</v>
      </c>
      <c r="S52" s="28">
        <f t="shared" ref="S52:S57" si="0">AB52</f>
        <v>0</v>
      </c>
      <c r="U52" t="str">
        <f t="shared" ref="U52:U57" si="1">IF(D52="","",D52)</f>
        <v/>
      </c>
      <c r="W52">
        <f>IF(H52="",1,H52)</f>
        <v>0</v>
      </c>
      <c r="Y52">
        <f>IF(L52="",1,L52)</f>
        <v>1</v>
      </c>
      <c r="Z52">
        <f>IF(N52="",1,N52)</f>
        <v>1</v>
      </c>
      <c r="AA52">
        <f>IF(P52="",1,P52)</f>
        <v>1</v>
      </c>
      <c r="AB52" s="28">
        <f>IF(U52="",,ROUND(U52*W52*Y52*Z52*AA52,0))</f>
        <v>0</v>
      </c>
    </row>
    <row r="53" spans="1:28" x14ac:dyDescent="0.25">
      <c r="A53" s="167" t="s">
        <v>18</v>
      </c>
      <c r="B53" s="169"/>
      <c r="C53" s="168"/>
      <c r="D53" s="86"/>
      <c r="E53" s="17"/>
      <c r="F53" s="26" t="s">
        <v>19</v>
      </c>
      <c r="G53" s="17"/>
      <c r="H53" s="26" t="s">
        <v>19</v>
      </c>
      <c r="I53" s="17" t="s">
        <v>16</v>
      </c>
      <c r="J53" s="62">
        <f>P45</f>
        <v>0</v>
      </c>
      <c r="K53" s="17"/>
      <c r="L53" s="26" t="s">
        <v>19</v>
      </c>
      <c r="M53" s="17"/>
      <c r="N53" s="26" t="s">
        <v>19</v>
      </c>
      <c r="O53" s="17"/>
      <c r="P53" s="26" t="s">
        <v>19</v>
      </c>
      <c r="Q53" s="17" t="s">
        <v>17</v>
      </c>
      <c r="R53" s="17" t="s">
        <v>17</v>
      </c>
      <c r="S53" s="87">
        <f t="shared" si="0"/>
        <v>0</v>
      </c>
      <c r="U53" t="str">
        <f t="shared" si="1"/>
        <v/>
      </c>
      <c r="X53">
        <f>IF(J53="",1,J53)</f>
        <v>0</v>
      </c>
      <c r="AB53" s="28">
        <f>IF(U53="",,ROUND(U53*X53,0))</f>
        <v>0</v>
      </c>
    </row>
    <row r="54" spans="1:28" x14ac:dyDescent="0.25">
      <c r="A54" s="167" t="s">
        <v>20</v>
      </c>
      <c r="B54" s="169"/>
      <c r="C54" s="168"/>
      <c r="D54" s="86"/>
      <c r="E54" s="17"/>
      <c r="F54" s="26" t="s">
        <v>19</v>
      </c>
      <c r="G54" s="17"/>
      <c r="H54" s="26" t="s">
        <v>19</v>
      </c>
      <c r="I54" s="17" t="s">
        <v>16</v>
      </c>
      <c r="J54" s="62">
        <f>P45</f>
        <v>0</v>
      </c>
      <c r="K54" s="17"/>
      <c r="L54" s="26" t="s">
        <v>19</v>
      </c>
      <c r="M54" s="17"/>
      <c r="N54" s="26" t="s">
        <v>19</v>
      </c>
      <c r="O54" s="17"/>
      <c r="P54" s="26" t="s">
        <v>19</v>
      </c>
      <c r="Q54" s="17" t="s">
        <v>17</v>
      </c>
      <c r="R54" s="17" t="s">
        <v>17</v>
      </c>
      <c r="S54" s="87">
        <f t="shared" si="0"/>
        <v>0</v>
      </c>
      <c r="U54" t="str">
        <f t="shared" si="1"/>
        <v/>
      </c>
      <c r="X54">
        <f>IF(J54="",1,J54)</f>
        <v>0</v>
      </c>
      <c r="AB54" s="28">
        <f>IF(U54="",,ROUND(U54*X54,0))</f>
        <v>0</v>
      </c>
    </row>
    <row r="55" spans="1:28" x14ac:dyDescent="0.25">
      <c r="A55" s="167" t="s">
        <v>21</v>
      </c>
      <c r="B55" s="169"/>
      <c r="C55" s="168"/>
      <c r="D55" s="86"/>
      <c r="E55" s="17" t="s">
        <v>16</v>
      </c>
      <c r="F55" s="33"/>
      <c r="G55" s="17" t="s">
        <v>16</v>
      </c>
      <c r="H55" s="61">
        <f>P43</f>
        <v>0</v>
      </c>
      <c r="I55" s="17"/>
      <c r="J55" s="26" t="s">
        <v>19</v>
      </c>
      <c r="K55" s="17"/>
      <c r="L55" s="26" t="s">
        <v>19</v>
      </c>
      <c r="M55" s="17" t="s">
        <v>16</v>
      </c>
      <c r="N55" s="92">
        <f>IF(N52="",,N52)</f>
        <v>0</v>
      </c>
      <c r="O55" s="17" t="s">
        <v>16</v>
      </c>
      <c r="P55" s="92">
        <f>+IF(P52="",,P52)</f>
        <v>0</v>
      </c>
      <c r="Q55" s="17" t="s">
        <v>17</v>
      </c>
      <c r="R55" s="17" t="s">
        <v>17</v>
      </c>
      <c r="S55" s="87">
        <f t="shared" si="0"/>
        <v>0</v>
      </c>
      <c r="U55" s="90" t="str">
        <f t="shared" si="1"/>
        <v/>
      </c>
      <c r="V55">
        <f>IF(F55="",1,F55)</f>
        <v>1</v>
      </c>
      <c r="W55">
        <f>IF(H55="",1,H55)</f>
        <v>0</v>
      </c>
      <c r="Z55">
        <f>IF(N52="",1,N52)</f>
        <v>1</v>
      </c>
      <c r="AA55">
        <f>IF(P52="",1,P52)</f>
        <v>1</v>
      </c>
      <c r="AB55" s="28">
        <f>IF(U55="",,ROUND(U55*V55*W55*Z55*AA55,0))</f>
        <v>0</v>
      </c>
    </row>
    <row r="56" spans="1:28" x14ac:dyDescent="0.25">
      <c r="A56" s="167" t="s">
        <v>23</v>
      </c>
      <c r="B56" s="168"/>
      <c r="C56" s="168"/>
      <c r="D56" s="24"/>
      <c r="E56" s="17"/>
      <c r="F56" s="26" t="s">
        <v>19</v>
      </c>
      <c r="G56" s="17" t="s">
        <v>16</v>
      </c>
      <c r="H56" s="61">
        <f>P43</f>
        <v>0</v>
      </c>
      <c r="I56" s="17"/>
      <c r="J56" s="26" t="s">
        <v>19</v>
      </c>
      <c r="K56" s="17"/>
      <c r="L56" s="26" t="s">
        <v>19</v>
      </c>
      <c r="M56" s="17" t="s">
        <v>16</v>
      </c>
      <c r="N56" s="92">
        <f>IF(N52="",,N52)</f>
        <v>0</v>
      </c>
      <c r="O56" s="17" t="s">
        <v>16</v>
      </c>
      <c r="P56" s="92">
        <f>+IF(P52="",,P52)</f>
        <v>0</v>
      </c>
      <c r="R56" s="17" t="s">
        <v>17</v>
      </c>
      <c r="S56" s="98">
        <f t="shared" si="0"/>
        <v>0</v>
      </c>
      <c r="U56" t="str">
        <f t="shared" si="1"/>
        <v/>
      </c>
      <c r="W56">
        <f>IF(H56="",1,H56)</f>
        <v>0</v>
      </c>
      <c r="Z56">
        <f>IF(N52="",1,N52)</f>
        <v>1</v>
      </c>
      <c r="AA56">
        <f>IF(P52="",1,P52)</f>
        <v>1</v>
      </c>
      <c r="AB56" s="28">
        <f>IF(U56="",,ROUND(U56*W56*Z56*AA56,0))</f>
        <v>0</v>
      </c>
    </row>
    <row r="57" spans="1:28" x14ac:dyDescent="0.25">
      <c r="A57" s="167" t="s">
        <v>24</v>
      </c>
      <c r="B57" s="203"/>
      <c r="C57" s="168"/>
      <c r="D57" s="86"/>
      <c r="E57" s="17"/>
      <c r="F57" s="26" t="s">
        <v>19</v>
      </c>
      <c r="G57" s="17" t="s">
        <v>16</v>
      </c>
      <c r="H57" s="61">
        <f>P43</f>
        <v>0</v>
      </c>
      <c r="I57" s="17"/>
      <c r="J57" s="26" t="s">
        <v>19</v>
      </c>
      <c r="K57" s="17"/>
      <c r="L57" s="26" t="s">
        <v>19</v>
      </c>
      <c r="M57" s="17"/>
      <c r="N57" s="26" t="s">
        <v>19</v>
      </c>
      <c r="O57" s="17"/>
      <c r="P57" s="26" t="s">
        <v>19</v>
      </c>
      <c r="Q57" s="17" t="s">
        <v>17</v>
      </c>
      <c r="R57" s="17" t="s">
        <v>17</v>
      </c>
      <c r="S57" s="87">
        <f t="shared" si="0"/>
        <v>0</v>
      </c>
      <c r="U57" s="90" t="str">
        <f t="shared" si="1"/>
        <v/>
      </c>
      <c r="W57">
        <f>IF(H57="",1,H57)</f>
        <v>0</v>
      </c>
      <c r="AB57" s="28">
        <f>IF(U57="",,ROUND(U57*W57,0))</f>
        <v>0</v>
      </c>
    </row>
    <row r="58" spans="1:28" x14ac:dyDescent="0.25">
      <c r="A58" s="205"/>
      <c r="B58" s="205"/>
      <c r="C58" s="205"/>
      <c r="S58" s="16">
        <f>S52+S53+S54+S55+S56+S57</f>
        <v>0</v>
      </c>
    </row>
    <row r="60" spans="1:28" x14ac:dyDescent="0.25">
      <c r="A60" s="179" t="s">
        <v>26</v>
      </c>
      <c r="B60" s="179"/>
      <c r="C60" s="179"/>
      <c r="D60" s="179"/>
      <c r="E60" s="179"/>
      <c r="F60" s="179"/>
      <c r="G60" s="179"/>
      <c r="H60" s="179"/>
      <c r="I60" s="179"/>
      <c r="J60" s="179"/>
      <c r="K60" s="179"/>
      <c r="L60" s="179"/>
      <c r="M60" s="179"/>
      <c r="N60" s="179"/>
      <c r="O60" s="179"/>
      <c r="P60" s="179"/>
      <c r="Q60" s="179"/>
      <c r="R60" s="179"/>
    </row>
    <row r="61" spans="1:28" x14ac:dyDescent="0.25">
      <c r="A61" s="94" t="s">
        <v>27</v>
      </c>
      <c r="C61" s="67" t="s">
        <v>28</v>
      </c>
    </row>
    <row r="62" spans="1:28" x14ac:dyDescent="0.25">
      <c r="A62" s="67" t="s">
        <v>29</v>
      </c>
      <c r="C62" s="67" t="s">
        <v>30</v>
      </c>
      <c r="D62" s="95"/>
      <c r="E62" s="95"/>
      <c r="F62" s="95"/>
      <c r="G62" s="95"/>
    </row>
    <row r="63" spans="1:28" x14ac:dyDescent="0.25">
      <c r="A63" s="67"/>
      <c r="C63" s="67"/>
      <c r="D63" s="95"/>
      <c r="E63" s="95"/>
      <c r="F63" s="95"/>
      <c r="G63" s="95"/>
    </row>
    <row r="64" spans="1:28" x14ac:dyDescent="0.25">
      <c r="A64" s="164" t="s">
        <v>32</v>
      </c>
      <c r="B64" s="165"/>
      <c r="C64" s="165"/>
      <c r="D64" s="165"/>
      <c r="E64" s="165"/>
      <c r="F64" s="165"/>
      <c r="G64" s="165"/>
      <c r="H64" s="165"/>
      <c r="I64" s="165"/>
      <c r="J64" s="165"/>
      <c r="K64" s="165"/>
      <c r="L64" s="165"/>
      <c r="M64" s="165"/>
      <c r="N64" s="165"/>
      <c r="O64" s="165"/>
      <c r="P64" s="165"/>
      <c r="Q64" s="165"/>
      <c r="R64" s="165"/>
      <c r="S64" s="166"/>
    </row>
    <row r="65" spans="1:19" ht="41.25" customHeight="1" x14ac:dyDescent="0.25">
      <c r="A65" s="123" t="s">
        <v>82</v>
      </c>
      <c r="B65" s="184" t="s">
        <v>83</v>
      </c>
      <c r="C65" s="168"/>
      <c r="D65" s="168"/>
      <c r="E65" s="168"/>
      <c r="F65" s="168"/>
      <c r="G65" s="168"/>
      <c r="H65" s="168"/>
      <c r="I65" s="168"/>
      <c r="J65" s="168"/>
      <c r="K65" s="168"/>
      <c r="L65" s="168"/>
      <c r="M65" s="168"/>
      <c r="N65" s="168"/>
      <c r="O65" s="168"/>
      <c r="P65" s="168"/>
      <c r="Q65" s="168"/>
      <c r="R65" s="168"/>
      <c r="S65" s="185"/>
    </row>
    <row r="66" spans="1:19" ht="18" customHeight="1" x14ac:dyDescent="0.25">
      <c r="A66" s="121" t="s">
        <v>84</v>
      </c>
      <c r="B66" s="122" t="s">
        <v>38</v>
      </c>
      <c r="C66" s="122"/>
      <c r="D66" s="122"/>
      <c r="E66" s="122"/>
      <c r="F66" s="116"/>
      <c r="G66" s="116"/>
      <c r="H66" s="116"/>
      <c r="I66" s="116"/>
      <c r="J66" s="116"/>
      <c r="K66" s="116"/>
      <c r="L66" s="116"/>
      <c r="M66" s="116"/>
      <c r="N66" s="116"/>
      <c r="O66" s="116"/>
      <c r="P66" s="116"/>
      <c r="Q66" s="116"/>
      <c r="R66" s="116"/>
      <c r="S66" s="117"/>
    </row>
  </sheetData>
  <sheetProtection sheet="1" objects="1" scenarios="1"/>
  <mergeCells count="43">
    <mergeCell ref="A56:C56"/>
    <mergeCell ref="A64:S64"/>
    <mergeCell ref="A6:J6"/>
    <mergeCell ref="C40:J40"/>
    <mergeCell ref="C8:H8"/>
    <mergeCell ref="C10:H10"/>
    <mergeCell ref="C11:H11"/>
    <mergeCell ref="C12:H12"/>
    <mergeCell ref="A57:C57"/>
    <mergeCell ref="C41:F41"/>
    <mergeCell ref="A53:C53"/>
    <mergeCell ref="C21:H21"/>
    <mergeCell ref="A58:C58"/>
    <mergeCell ref="A60:R60"/>
    <mergeCell ref="C17:D17"/>
    <mergeCell ref="C28:D28"/>
    <mergeCell ref="C32:D32"/>
    <mergeCell ref="A39:G39"/>
    <mergeCell ref="J37:L37"/>
    <mergeCell ref="K43:L43"/>
    <mergeCell ref="C27:H27"/>
    <mergeCell ref="C30:H30"/>
    <mergeCell ref="A54:C54"/>
    <mergeCell ref="A55:C55"/>
    <mergeCell ref="A51:C51"/>
    <mergeCell ref="A47:P47"/>
    <mergeCell ref="A52:C52"/>
    <mergeCell ref="B65:S65"/>
    <mergeCell ref="A3:S3"/>
    <mergeCell ref="R37:S37"/>
    <mergeCell ref="C33:H33"/>
    <mergeCell ref="C34:H34"/>
    <mergeCell ref="C35:H35"/>
    <mergeCell ref="C23:H23"/>
    <mergeCell ref="C24:H24"/>
    <mergeCell ref="C25:H25"/>
    <mergeCell ref="C29:H29"/>
    <mergeCell ref="C31:H31"/>
    <mergeCell ref="C14:H14"/>
    <mergeCell ref="C15:H15"/>
    <mergeCell ref="C16:H16"/>
    <mergeCell ref="C19:H19"/>
    <mergeCell ref="C20:H20"/>
  </mergeCells>
  <dataValidations count="1">
    <dataValidation type="list" allowBlank="1" showInputMessage="1" showErrorMessage="1" sqref="P40" xr:uid="{3BFCB7B3-0E22-4E59-9E91-B590D11CAD2F}">
      <formula1>$Y$38:$Y$45</formula1>
    </dataValidation>
  </dataValidations>
  <printOptions horizontalCentered="1"/>
  <pageMargins left="0.5" right="0.5" top="0.5" bottom="0.5" header="0.3" footer="0.3"/>
  <pageSetup scale="85" orientation="landscape" r:id="rId1"/>
  <rowBreaks count="1" manualBreakCount="1">
    <brk id="38"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F3F2E-8F68-4806-9B5E-21594A6AADEC}">
  <sheetPr codeName="Sheet5">
    <pageSetUpPr fitToPage="1"/>
  </sheetPr>
  <dimension ref="A1:L40"/>
  <sheetViews>
    <sheetView showGridLines="0" showZeros="0" zoomScaleNormal="100" zoomScaleSheetLayoutView="85" workbookViewId="0"/>
  </sheetViews>
  <sheetFormatPr defaultRowHeight="15" x14ac:dyDescent="0.25"/>
  <cols>
    <col min="1" max="1" width="54.28515625" customWidth="1"/>
    <col min="2" max="4" width="19" customWidth="1"/>
    <col min="5" max="5" width="11" customWidth="1"/>
    <col min="6" max="6" width="11.28515625" customWidth="1"/>
    <col min="7" max="7" width="11.42578125" customWidth="1"/>
    <col min="10" max="10" width="5.140625" customWidth="1"/>
  </cols>
  <sheetData>
    <row r="1" spans="1:12" s="108" customFormat="1" x14ac:dyDescent="0.25">
      <c r="A1"/>
      <c r="B1"/>
      <c r="C1"/>
      <c r="D1"/>
      <c r="E1"/>
      <c r="F1"/>
      <c r="G1"/>
      <c r="H1"/>
      <c r="I1"/>
      <c r="J1"/>
      <c r="K1"/>
      <c r="L1"/>
    </row>
    <row r="2" spans="1:12" s="108" customFormat="1" ht="20.25" customHeight="1" x14ac:dyDescent="0.25">
      <c r="A2"/>
      <c r="B2"/>
      <c r="C2"/>
      <c r="D2"/>
      <c r="E2"/>
      <c r="F2"/>
      <c r="G2"/>
      <c r="H2"/>
      <c r="I2"/>
      <c r="J2"/>
      <c r="K2"/>
      <c r="L2"/>
    </row>
    <row r="3" spans="1:12" ht="17.25" x14ac:dyDescent="0.3">
      <c r="A3" s="172" t="s">
        <v>85</v>
      </c>
      <c r="B3" s="168"/>
      <c r="C3" s="168"/>
      <c r="D3" s="168"/>
      <c r="E3" s="168"/>
      <c r="F3" s="168"/>
      <c r="G3" s="168"/>
      <c r="H3" s="168"/>
      <c r="I3" s="149"/>
      <c r="J3" s="149"/>
      <c r="K3" s="149"/>
    </row>
    <row r="4" spans="1:12" ht="22.5" customHeight="1" x14ac:dyDescent="0.25">
      <c r="A4" s="111" t="s">
        <v>1</v>
      </c>
    </row>
    <row r="5" spans="1:12" x14ac:dyDescent="0.25">
      <c r="A5" s="114" t="s">
        <v>2</v>
      </c>
      <c r="B5" s="210" t="s">
        <v>86</v>
      </c>
      <c r="C5" s="204"/>
      <c r="D5" s="204"/>
      <c r="E5" s="204"/>
      <c r="F5" s="204"/>
      <c r="G5" s="204"/>
    </row>
    <row r="6" spans="1:12" x14ac:dyDescent="0.25">
      <c r="C6" s="211" t="s">
        <v>87</v>
      </c>
      <c r="D6" s="211"/>
    </row>
    <row r="7" spans="1:12" x14ac:dyDescent="0.25">
      <c r="A7" s="71" t="s">
        <v>88</v>
      </c>
    </row>
    <row r="8" spans="1:12" x14ac:dyDescent="0.25">
      <c r="A8" s="63" t="s">
        <v>89</v>
      </c>
    </row>
    <row r="9" spans="1:12" ht="29.45" customHeight="1" x14ac:dyDescent="0.25">
      <c r="A9" s="70"/>
      <c r="B9" s="141" t="s">
        <v>90</v>
      </c>
      <c r="C9" s="141" t="s">
        <v>91</v>
      </c>
      <c r="D9" s="159" t="s">
        <v>92</v>
      </c>
      <c r="E9" s="41"/>
      <c r="F9" s="41"/>
    </row>
    <row r="10" spans="1:12" x14ac:dyDescent="0.25">
      <c r="A10" s="72"/>
      <c r="B10" s="140" t="s">
        <v>93</v>
      </c>
      <c r="C10" s="140" t="s">
        <v>93</v>
      </c>
      <c r="D10" s="140" t="s">
        <v>93</v>
      </c>
      <c r="E10" s="73"/>
    </row>
    <row r="11" spans="1:12" x14ac:dyDescent="0.25">
      <c r="A11" s="153" t="s">
        <v>94</v>
      </c>
      <c r="B11" s="131">
        <v>98250</v>
      </c>
      <c r="C11" s="131">
        <v>98250</v>
      </c>
      <c r="D11" s="131">
        <v>98250</v>
      </c>
      <c r="E11" s="41"/>
    </row>
    <row r="12" spans="1:12" x14ac:dyDescent="0.25">
      <c r="A12" s="70" t="s">
        <v>95</v>
      </c>
      <c r="B12" s="104">
        <f>IF(B11="",,LDFFactors!B2)</f>
        <v>0.95199999999999996</v>
      </c>
      <c r="C12" s="104">
        <f>IF(C11="",,LDFFactors!C2)</f>
        <v>0.92900000000000005</v>
      </c>
      <c r="D12" s="104">
        <f>IF(D11="",,LDFFactors!D2)</f>
        <v>0.90600000000000003</v>
      </c>
      <c r="E12" s="41"/>
    </row>
    <row r="13" spans="1:12" x14ac:dyDescent="0.25">
      <c r="A13" s="70" t="s">
        <v>96</v>
      </c>
      <c r="B13" s="132">
        <f>ROUND(B11*B12,3)</f>
        <v>93534</v>
      </c>
      <c r="C13" s="132">
        <f>ROUND(C11*C12,3)</f>
        <v>91274.25</v>
      </c>
      <c r="D13" s="132">
        <f>ROUND(D11*D12,3)</f>
        <v>89014.5</v>
      </c>
      <c r="E13" s="41"/>
    </row>
    <row r="14" spans="1:12" x14ac:dyDescent="0.25">
      <c r="A14" s="69" t="s">
        <v>97</v>
      </c>
      <c r="B14" s="76">
        <f>IF(B11="",,IF($A$8="Zone Rated",VLOOKUP(1,'Credibility&amp;MSLTable'!$A3:$H$101,5,FALSE),VLOOKUP(1,'Credibility&amp;MSLTable'!$A3:$H$101,6,FALSE)))</f>
        <v>0.44600000000000001</v>
      </c>
      <c r="C14" s="76">
        <f>IF(C11="",,IF($A$8="Zone Rated",VLOOKUP(1,'Credibility&amp;MSLTable'!$A3:$H$101,5,FALSE),VLOOKUP(1,'Credibility&amp;MSLTable'!$A3:$H$101,6,FALSE)))</f>
        <v>0.44600000000000001</v>
      </c>
      <c r="D14" s="76">
        <f>IF(D11="",,IF($A$8="Zone Rated",VLOOKUP(1,'Credibility&amp;MSLTable'!$A3:$H$101,5,FALSE),VLOOKUP(1,'Credibility&amp;MSLTable'!$A3:$H$101,6,FALSE)))</f>
        <v>0.44600000000000001</v>
      </c>
      <c r="E14" s="41"/>
    </row>
    <row r="15" spans="1:12" x14ac:dyDescent="0.25">
      <c r="A15" s="69" t="s">
        <v>98</v>
      </c>
      <c r="B15" s="132">
        <f>ROUND(B13*B14,3)</f>
        <v>41716.163999999997</v>
      </c>
      <c r="C15" s="132">
        <f>ROUND(C13*C14,3)</f>
        <v>40708.315999999999</v>
      </c>
      <c r="D15" s="132">
        <f>ROUND(D13*D14,3)</f>
        <v>39700.466999999997</v>
      </c>
      <c r="E15" s="41"/>
    </row>
    <row r="16" spans="1:12" x14ac:dyDescent="0.25">
      <c r="A16" s="69" t="s">
        <v>99</v>
      </c>
      <c r="B16" s="145">
        <f>IF(B11="",,VLOOKUP(A8,LDFFactors!A7:D9,2,))</f>
        <v>0.13300000000000001</v>
      </c>
      <c r="C16" s="145">
        <f>IF(C11="",,VLOOKUP(A8,LDFFactors!$A$7:$D$9,3,))</f>
        <v>5.8999999999999997E-2</v>
      </c>
      <c r="D16" s="145">
        <f>IF(D11="",,VLOOKUP(A8,LDFFactors!$A$7:$D$9,4,))</f>
        <v>2.8000000000000001E-2</v>
      </c>
      <c r="E16" s="41"/>
    </row>
    <row r="17" spans="1:7" x14ac:dyDescent="0.25">
      <c r="A17" s="69" t="s">
        <v>100</v>
      </c>
      <c r="B17" s="132">
        <f>ROUND(B15*B16,0)</f>
        <v>5548</v>
      </c>
      <c r="C17" s="132">
        <f>ROUND(C15*C16,0)</f>
        <v>2402</v>
      </c>
      <c r="D17" s="132">
        <f>ROUND(D15*D16,0)</f>
        <v>1112</v>
      </c>
      <c r="E17" s="41"/>
    </row>
    <row r="18" spans="1:7" x14ac:dyDescent="0.25">
      <c r="A18" s="77" t="s">
        <v>101</v>
      </c>
      <c r="B18" s="146">
        <v>85694</v>
      </c>
      <c r="C18" s="146">
        <v>58530</v>
      </c>
      <c r="D18" s="146">
        <v>49960</v>
      </c>
      <c r="E18" s="41"/>
    </row>
    <row r="19" spans="1:7" ht="16.149999999999999" customHeight="1" x14ac:dyDescent="0.25">
      <c r="A19" s="69" t="s">
        <v>102</v>
      </c>
      <c r="B19" s="133">
        <f>B17+B18</f>
        <v>91242</v>
      </c>
      <c r="C19" s="133">
        <f>C17+C18</f>
        <v>60932</v>
      </c>
      <c r="D19" s="133">
        <f>D17+D18</f>
        <v>51072</v>
      </c>
      <c r="E19" s="41"/>
    </row>
    <row r="20" spans="1:7" ht="13.15" customHeight="1" x14ac:dyDescent="0.25">
      <c r="A20" s="69"/>
      <c r="B20" s="130"/>
      <c r="C20" s="75"/>
      <c r="D20" s="75"/>
    </row>
    <row r="21" spans="1:7" ht="14.45" customHeight="1" x14ac:dyDescent="0.25">
      <c r="A21" s="69"/>
      <c r="B21" s="130"/>
      <c r="C21" s="75"/>
      <c r="D21" s="75"/>
      <c r="E21" s="208" t="s">
        <v>103</v>
      </c>
      <c r="F21" s="209"/>
      <c r="G21" s="209"/>
    </row>
    <row r="22" spans="1:7" ht="15" customHeight="1" x14ac:dyDescent="0.25">
      <c r="A22" s="178" t="s">
        <v>104</v>
      </c>
      <c r="B22" s="168"/>
      <c r="C22" s="168"/>
      <c r="D22" s="168"/>
      <c r="E22" s="168"/>
      <c r="F22" s="147">
        <f>IF(B11="",,IF($A$8="Zone Rated",VLOOKUP(1,'Credibility&amp;MSLTable'!$A3:$H$101,7,FALSE),VLOOKUP(1,'Credibility&amp;MSLTable'!$A3:$H$101,8,FALSE)))</f>
        <v>113900</v>
      </c>
    </row>
    <row r="23" spans="1:7" ht="23.45" customHeight="1" x14ac:dyDescent="0.25">
      <c r="A23" s="95"/>
    </row>
    <row r="24" spans="1:7" ht="15.6" customHeight="1" x14ac:dyDescent="0.25">
      <c r="B24" s="213" t="s">
        <v>90</v>
      </c>
      <c r="C24" s="213" t="s">
        <v>91</v>
      </c>
      <c r="D24" s="215" t="s">
        <v>92</v>
      </c>
      <c r="E24" s="142"/>
    </row>
    <row r="25" spans="1:7" ht="15.6" customHeight="1" x14ac:dyDescent="0.25">
      <c r="B25" s="214"/>
      <c r="C25" s="214"/>
      <c r="D25" s="215"/>
      <c r="E25" s="143" t="s">
        <v>105</v>
      </c>
    </row>
    <row r="26" spans="1:7" ht="15" customHeight="1" x14ac:dyDescent="0.25">
      <c r="A26" s="74" t="s">
        <v>106</v>
      </c>
      <c r="B26" s="125">
        <f>B13</f>
        <v>93534</v>
      </c>
      <c r="C26" s="125">
        <f>C13</f>
        <v>91274.25</v>
      </c>
      <c r="D26" s="125">
        <f>D13</f>
        <v>89014.5</v>
      </c>
      <c r="E26" s="126">
        <f>SUM(B26:D26)</f>
        <v>273822.75</v>
      </c>
    </row>
    <row r="27" spans="1:7" ht="15" customHeight="1" x14ac:dyDescent="0.25">
      <c r="A27" s="72" t="s">
        <v>107</v>
      </c>
      <c r="B27" s="125">
        <f>B19</f>
        <v>91242</v>
      </c>
      <c r="C27" s="125">
        <f>C19</f>
        <v>60932</v>
      </c>
      <c r="D27" s="125">
        <f>D19</f>
        <v>51072</v>
      </c>
      <c r="E27" s="126">
        <f>SUM(B27:D27)</f>
        <v>203246</v>
      </c>
    </row>
    <row r="28" spans="1:7" ht="15" customHeight="1" x14ac:dyDescent="0.25">
      <c r="A28" s="72" t="s">
        <v>108</v>
      </c>
      <c r="E28" s="127">
        <f>ROUND(E27/E26,3)</f>
        <v>0.74199999999999999</v>
      </c>
    </row>
    <row r="29" spans="1:7" ht="15" customHeight="1" x14ac:dyDescent="0.25">
      <c r="A29" s="72" t="s">
        <v>109</v>
      </c>
      <c r="E29" s="104">
        <f>IF(B11="",,IF($A$8="Zone Rated",VLOOKUP(1,'Credibility&amp;MSLTable'!$A3:$H$101,5,FALSE),VLOOKUP(1,'Credibility&amp;MSLTable'!$A3:$H$101,6,FALSE)))</f>
        <v>0.44600000000000001</v>
      </c>
    </row>
    <row r="30" spans="1:7" x14ac:dyDescent="0.25">
      <c r="A30" s="105" t="str">
        <f>IF(E26=0,"(5) Credit or Debit",IF(E28&gt;E29,"(5) Debit [(3) - (4)] ÷ (4)","(5) Credit [(4) - (3)] ÷ (4)"))</f>
        <v>(5) Debit [(3) - (4)] ÷ (4)</v>
      </c>
      <c r="E30" s="139">
        <f>IF(E26=0,,IF(E28&gt;E29,ROUND(((E28-E29)/E29),3),ROUND(((E29-E28)/E29),3)))</f>
        <v>0.66400000000000003</v>
      </c>
    </row>
    <row r="31" spans="1:7" x14ac:dyDescent="0.25">
      <c r="A31" s="72" t="s">
        <v>110</v>
      </c>
      <c r="E31" s="139">
        <f>IF(E26=0,,VLOOKUP(1,'Credibility&amp;MSLTable'!$A3:$H$101,4,FALSE))</f>
        <v>0.32</v>
      </c>
      <c r="F31" s="144" t="str">
        <f>IF(E31&lt;0.07,"This risk is not eligibe for experience rating.","")</f>
        <v/>
      </c>
    </row>
    <row r="32" spans="1:7" ht="14.45" customHeight="1" x14ac:dyDescent="0.25">
      <c r="A32" s="105" t="str">
        <f>IF(E26=0,"(7) Modified Credit or Debit",IF(E28&gt;E29,"(7) Modified Debit [(5) x (6)]","(7) Modified Credit [(5) x (6)]"))</f>
        <v>(7) Modified Debit [(5) x (6)]</v>
      </c>
      <c r="E32" s="128">
        <f>ROUND(E30*E31,2)</f>
        <v>0.21</v>
      </c>
    </row>
    <row r="33" spans="1:9" ht="19.149999999999999" customHeight="1" x14ac:dyDescent="0.25">
      <c r="A33" s="106" t="str">
        <f>IF(E26=0,"(8) Experience Modification Factor",IF(E28&gt;E29,"(8) Experience Modification Factor 1 + (7)","(8) Experience Modification Factor 1 - (7)"))</f>
        <v>(8) Experience Modification Factor 1 + (7)</v>
      </c>
      <c r="E33" s="129">
        <f>IF(E26=0,,IF(A32="(7) Modified Credit [(5) x (6)]",ROUND(1-E32,2),ROUND(1+E32,2)))</f>
        <v>1.21</v>
      </c>
    </row>
    <row r="34" spans="1:9" ht="24.75" customHeight="1" x14ac:dyDescent="0.25">
      <c r="A34" s="95"/>
    </row>
    <row r="35" spans="1:9" ht="24.75" customHeight="1" x14ac:dyDescent="0.25">
      <c r="A35" s="95"/>
    </row>
    <row r="37" spans="1:9" x14ac:dyDescent="0.25">
      <c r="A37" s="164" t="s">
        <v>32</v>
      </c>
      <c r="B37" s="165"/>
      <c r="C37" s="165"/>
      <c r="D37" s="165"/>
      <c r="E37" s="165"/>
      <c r="F37" s="165"/>
      <c r="G37" s="165"/>
      <c r="H37" s="166"/>
    </row>
    <row r="38" spans="1:9" ht="42.75" customHeight="1" x14ac:dyDescent="0.25">
      <c r="A38" s="212" t="s">
        <v>111</v>
      </c>
      <c r="B38" s="168"/>
      <c r="C38" s="168"/>
      <c r="D38" s="168"/>
      <c r="E38" s="168"/>
      <c r="F38" s="168"/>
      <c r="G38" s="168"/>
      <c r="H38" s="185"/>
    </row>
    <row r="39" spans="1:9" ht="18.75" customHeight="1" x14ac:dyDescent="0.25">
      <c r="A39" s="121" t="s">
        <v>112</v>
      </c>
      <c r="B39" s="116"/>
      <c r="C39" s="116"/>
      <c r="D39" s="116"/>
      <c r="E39" s="116"/>
      <c r="F39" s="116"/>
      <c r="G39" s="116"/>
      <c r="H39" s="117"/>
    </row>
    <row r="40" spans="1:9" x14ac:dyDescent="0.25">
      <c r="I40" s="108"/>
    </row>
  </sheetData>
  <sheetProtection sheet="1"/>
  <mergeCells count="10">
    <mergeCell ref="E21:G21"/>
    <mergeCell ref="B5:G5"/>
    <mergeCell ref="C6:D6"/>
    <mergeCell ref="A3:H3"/>
    <mergeCell ref="A38:H38"/>
    <mergeCell ref="A37:H37"/>
    <mergeCell ref="B24:B25"/>
    <mergeCell ref="C24:C25"/>
    <mergeCell ref="D24:D25"/>
    <mergeCell ref="A22:E22"/>
  </mergeCells>
  <dataValidations count="1">
    <dataValidation type="list" allowBlank="1" showInputMessage="1" showErrorMessage="1" sqref="A8" xr:uid="{51F55B22-FA49-45C6-B52F-A27453F1924A}">
      <formula1>"Select Class,Garage,Zone Rated, All Other"</formula1>
    </dataValidation>
  </dataValidations>
  <hyperlinks>
    <hyperlink ref="C6" r:id="rId1" xr:uid="{C013FFE8-320D-4337-9A4D-980B6454BB0B}"/>
    <hyperlink ref="C6:D6" r:id="rId2" display="Help Sheet" xr:uid="{18DABAAB-0B22-476A-B8A5-2ACCC1D3E494}"/>
  </hyperlinks>
  <printOptions horizontalCentered="1"/>
  <pageMargins left="0.5" right="0.5" top="0.5" bottom="0.5" header="0.3" footer="0.3"/>
  <pageSetup scale="83" orientation="landscape" r:id="rId3"/>
  <colBreaks count="1" manualBreakCount="1">
    <brk id="9" max="1048575" man="1"/>
  </col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C7857-FA52-481F-BF19-72EA1C826056}">
  <sheetPr codeName="Sheet6"/>
  <dimension ref="A1:H103"/>
  <sheetViews>
    <sheetView workbookViewId="0">
      <pane ySplit="2" topLeftCell="A21" activePane="bottomLeft" state="frozen"/>
      <selection pane="bottomLeft" activeCell="A101" sqref="A101"/>
    </sheetView>
  </sheetViews>
  <sheetFormatPr defaultRowHeight="15" x14ac:dyDescent="0.25"/>
  <cols>
    <col min="2" max="2" width="10.28515625" customWidth="1"/>
    <col min="3" max="3" width="13.5703125" customWidth="1"/>
  </cols>
  <sheetData>
    <row r="1" spans="1:8" ht="27.75" customHeight="1" x14ac:dyDescent="0.25">
      <c r="B1" s="2"/>
      <c r="C1" s="2"/>
      <c r="D1" s="3"/>
      <c r="E1" s="216" t="s">
        <v>113</v>
      </c>
      <c r="F1" s="216"/>
      <c r="G1" s="217" t="s">
        <v>103</v>
      </c>
      <c r="H1" s="217"/>
    </row>
    <row r="2" spans="1:8" ht="26.25" x14ac:dyDescent="0.25">
      <c r="A2" t="s">
        <v>114</v>
      </c>
      <c r="B2" s="218" t="s">
        <v>115</v>
      </c>
      <c r="C2" s="218"/>
      <c r="D2" s="4" t="s">
        <v>116</v>
      </c>
      <c r="E2" s="160" t="s">
        <v>117</v>
      </c>
      <c r="F2" s="5" t="s">
        <v>118</v>
      </c>
      <c r="G2" s="161" t="s">
        <v>117</v>
      </c>
      <c r="H2" s="6" t="s">
        <v>118</v>
      </c>
    </row>
    <row r="3" spans="1:8" x14ac:dyDescent="0.25">
      <c r="A3" s="47">
        <f>IF(AND('Experience Rating'!$E$26&gt;='Credibility&amp;MSLTable'!B3,'Experience Rating'!$E$26&lt;='Credibility&amp;MSLTable'!C3),1,0)</f>
        <v>0</v>
      </c>
      <c r="B3" s="7">
        <v>15216</v>
      </c>
      <c r="C3" s="7">
        <v>21521</v>
      </c>
      <c r="D3" s="8">
        <v>0.03</v>
      </c>
      <c r="E3" s="9">
        <v>0.36499999999999999</v>
      </c>
      <c r="F3" s="9">
        <v>0.38400000000000001</v>
      </c>
      <c r="G3" s="7">
        <v>55500</v>
      </c>
      <c r="H3" s="7">
        <v>58400</v>
      </c>
    </row>
    <row r="4" spans="1:8" x14ac:dyDescent="0.25">
      <c r="A4" s="47">
        <f>IF(AND('Experience Rating'!$E$26&gt;='Credibility&amp;MSLTable'!B4,'Experience Rating'!$E$26&lt;='Credibility&amp;MSLTable'!C4),1,0)</f>
        <v>0</v>
      </c>
      <c r="B4" s="7">
        <v>21522</v>
      </c>
      <c r="C4" s="7">
        <v>27959</v>
      </c>
      <c r="D4" s="8">
        <v>0.04</v>
      </c>
      <c r="E4" s="9">
        <v>0.374</v>
      </c>
      <c r="F4" s="9">
        <v>0.39300000000000002</v>
      </c>
      <c r="G4" s="7">
        <v>60450</v>
      </c>
      <c r="H4" s="7">
        <v>63400</v>
      </c>
    </row>
    <row r="5" spans="1:8" x14ac:dyDescent="0.25">
      <c r="A5" s="47">
        <f>IF(AND('Experience Rating'!$E$26&gt;='Credibility&amp;MSLTable'!B5,'Experience Rating'!$E$26&lt;='Credibility&amp;MSLTable'!C5),1,0)</f>
        <v>0</v>
      </c>
      <c r="B5" s="7">
        <v>27960</v>
      </c>
      <c r="C5" s="7">
        <v>34534</v>
      </c>
      <c r="D5" s="8">
        <v>0.05</v>
      </c>
      <c r="E5" s="9">
        <v>0.38100000000000001</v>
      </c>
      <c r="F5" s="9">
        <v>0.39800000000000002</v>
      </c>
      <c r="G5" s="7">
        <v>63900</v>
      </c>
      <c r="H5" s="7">
        <v>66850</v>
      </c>
    </row>
    <row r="6" spans="1:8" x14ac:dyDescent="0.25">
      <c r="A6" s="47">
        <f>IF(AND('Experience Rating'!$E$26&gt;='Credibility&amp;MSLTable'!B6,'Experience Rating'!$E$26&lt;='Credibility&amp;MSLTable'!C6),1,0)</f>
        <v>0</v>
      </c>
      <c r="B6" s="7">
        <v>34535</v>
      </c>
      <c r="C6" s="7">
        <v>41250</v>
      </c>
      <c r="D6" s="8">
        <v>0.06</v>
      </c>
      <c r="E6" s="9">
        <v>0.38600000000000001</v>
      </c>
      <c r="F6" s="9">
        <v>0.40200000000000002</v>
      </c>
      <c r="G6" s="7">
        <v>66550</v>
      </c>
      <c r="H6" s="7">
        <v>69550</v>
      </c>
    </row>
    <row r="7" spans="1:8" x14ac:dyDescent="0.25">
      <c r="A7" s="47">
        <f>IF(AND('Experience Rating'!$E$26&gt;='Credibility&amp;MSLTable'!B7,'Experience Rating'!$E$26&lt;='Credibility&amp;MSLTable'!C7),1,0)</f>
        <v>0</v>
      </c>
      <c r="B7" s="7">
        <v>41251</v>
      </c>
      <c r="C7" s="7">
        <v>48111</v>
      </c>
      <c r="D7" s="8">
        <v>7.0000000000000007E-2</v>
      </c>
      <c r="E7" s="9">
        <v>0.38900000000000001</v>
      </c>
      <c r="F7" s="9">
        <v>0.40600000000000003</v>
      </c>
      <c r="G7" s="7">
        <v>68800</v>
      </c>
      <c r="H7" s="7">
        <v>71800</v>
      </c>
    </row>
    <row r="8" spans="1:8" x14ac:dyDescent="0.25">
      <c r="A8" s="47">
        <f>IF(AND('Experience Rating'!$E$26&gt;='Credibility&amp;MSLTable'!B8,'Experience Rating'!$E$26&lt;='Credibility&amp;MSLTable'!C8),1,0)</f>
        <v>0</v>
      </c>
      <c r="B8" s="7">
        <v>48112</v>
      </c>
      <c r="C8" s="7">
        <v>55122</v>
      </c>
      <c r="D8" s="8">
        <v>0.08</v>
      </c>
      <c r="E8" s="9">
        <v>0.39200000000000002</v>
      </c>
      <c r="F8" s="9">
        <v>0.40899999999999997</v>
      </c>
      <c r="G8" s="7">
        <v>70750</v>
      </c>
      <c r="H8" s="7">
        <v>73750</v>
      </c>
    </row>
    <row r="9" spans="1:8" x14ac:dyDescent="0.25">
      <c r="A9" s="47">
        <f>IF(AND('Experience Rating'!$E$26&gt;='Credibility&amp;MSLTable'!B9,'Experience Rating'!$E$26&lt;='Credibility&amp;MSLTable'!C9),1,0)</f>
        <v>0</v>
      </c>
      <c r="B9" s="7">
        <v>55123</v>
      </c>
      <c r="C9" s="7">
        <v>62286</v>
      </c>
      <c r="D9" s="8">
        <v>0.09</v>
      </c>
      <c r="E9" s="9">
        <v>0.39500000000000002</v>
      </c>
      <c r="F9" s="9">
        <v>0.41099999999999998</v>
      </c>
      <c r="G9" s="7">
        <v>72550</v>
      </c>
      <c r="H9" s="7">
        <v>75550</v>
      </c>
    </row>
    <row r="10" spans="1:8" x14ac:dyDescent="0.25">
      <c r="A10" s="47">
        <f>IF(AND('Experience Rating'!$E$26&gt;='Credibility&amp;MSLTable'!B10,'Experience Rating'!$E$26&lt;='Credibility&amp;MSLTable'!C10),1,0)</f>
        <v>0</v>
      </c>
      <c r="B10" s="7">
        <v>62287</v>
      </c>
      <c r="C10" s="7">
        <v>69613</v>
      </c>
      <c r="D10" s="8">
        <v>0.1</v>
      </c>
      <c r="E10" s="9">
        <v>0.39700000000000002</v>
      </c>
      <c r="F10" s="9">
        <v>0.41399999999999998</v>
      </c>
      <c r="G10" s="7">
        <v>74250</v>
      </c>
      <c r="H10" s="7">
        <v>77250</v>
      </c>
    </row>
    <row r="11" spans="1:8" x14ac:dyDescent="0.25">
      <c r="A11" s="47">
        <f>IF(AND('Experience Rating'!$E$26&gt;='Credibility&amp;MSLTable'!B11,'Experience Rating'!$E$26&lt;='Credibility&amp;MSLTable'!C11),1,0)</f>
        <v>0</v>
      </c>
      <c r="B11" s="7">
        <v>69614</v>
      </c>
      <c r="C11" s="7">
        <v>77105</v>
      </c>
      <c r="D11" s="8">
        <v>0.11</v>
      </c>
      <c r="E11" s="9">
        <v>0.4</v>
      </c>
      <c r="F11" s="9">
        <v>0.41599999999999998</v>
      </c>
      <c r="G11" s="7">
        <v>75850</v>
      </c>
      <c r="H11" s="7">
        <v>78900</v>
      </c>
    </row>
    <row r="12" spans="1:8" x14ac:dyDescent="0.25">
      <c r="A12" s="47">
        <f>IF(AND('Experience Rating'!$E$26&gt;='Credibility&amp;MSLTable'!B12,'Experience Rating'!$E$26&lt;='Credibility&amp;MSLTable'!C12),1,0)</f>
        <v>0</v>
      </c>
      <c r="B12" s="7">
        <v>77106</v>
      </c>
      <c r="C12" s="7">
        <v>84767</v>
      </c>
      <c r="D12" s="8">
        <v>0.12</v>
      </c>
      <c r="E12" s="9">
        <v>0.40200000000000002</v>
      </c>
      <c r="F12" s="9">
        <v>0.41699999999999998</v>
      </c>
      <c r="G12" s="7">
        <v>77450</v>
      </c>
      <c r="H12" s="7">
        <v>80500</v>
      </c>
    </row>
    <row r="13" spans="1:8" x14ac:dyDescent="0.25">
      <c r="A13" s="47">
        <f>IF(AND('Experience Rating'!$E$26&gt;='Credibility&amp;MSLTable'!B13,'Experience Rating'!$E$26&lt;='Credibility&amp;MSLTable'!C13),1,0)</f>
        <v>0</v>
      </c>
      <c r="B13" s="7">
        <v>84768</v>
      </c>
      <c r="C13" s="7">
        <v>92607</v>
      </c>
      <c r="D13" s="8">
        <v>0.13</v>
      </c>
      <c r="E13" s="9">
        <v>0.40400000000000003</v>
      </c>
      <c r="F13" s="9">
        <v>0.41899999999999998</v>
      </c>
      <c r="G13" s="7">
        <v>79000</v>
      </c>
      <c r="H13" s="7">
        <v>82050</v>
      </c>
    </row>
    <row r="14" spans="1:8" x14ac:dyDescent="0.25">
      <c r="A14" s="47">
        <f>IF(AND('Experience Rating'!$E$26&gt;='Credibility&amp;MSLTable'!B14,'Experience Rating'!$E$26&lt;='Credibility&amp;MSLTable'!C14),1,0)</f>
        <v>0</v>
      </c>
      <c r="B14" s="7">
        <v>92608</v>
      </c>
      <c r="C14" s="7">
        <v>100630</v>
      </c>
      <c r="D14" s="8">
        <v>0.14000000000000001</v>
      </c>
      <c r="E14" s="9">
        <v>0.40600000000000003</v>
      </c>
      <c r="F14" s="9">
        <v>0.42099999999999999</v>
      </c>
      <c r="G14" s="7">
        <v>80550</v>
      </c>
      <c r="H14" s="7">
        <v>83550</v>
      </c>
    </row>
    <row r="15" spans="1:8" x14ac:dyDescent="0.25">
      <c r="A15" s="47">
        <f>IF(AND('Experience Rating'!$E$26&gt;='Credibility&amp;MSLTable'!B15,'Experience Rating'!$E$26&lt;='Credibility&amp;MSLTable'!C15),1,0)</f>
        <v>0</v>
      </c>
      <c r="B15" s="7">
        <v>100631</v>
      </c>
      <c r="C15" s="7">
        <v>108844</v>
      </c>
      <c r="D15" s="8">
        <v>0.15</v>
      </c>
      <c r="E15" s="9">
        <v>0.40799999999999997</v>
      </c>
      <c r="F15" s="9">
        <v>0.42299999999999999</v>
      </c>
      <c r="G15" s="7">
        <v>82050</v>
      </c>
      <c r="H15" s="7">
        <v>85100</v>
      </c>
    </row>
    <row r="16" spans="1:8" x14ac:dyDescent="0.25">
      <c r="A16" s="47">
        <f>IF(AND('Experience Rating'!$E$26&gt;='Credibility&amp;MSLTable'!B16,'Experience Rating'!$E$26&lt;='Credibility&amp;MSLTable'!C16),1,0)</f>
        <v>0</v>
      </c>
      <c r="B16" s="7">
        <v>108845</v>
      </c>
      <c r="C16" s="7">
        <v>117252</v>
      </c>
      <c r="D16" s="8">
        <v>0.16</v>
      </c>
      <c r="E16" s="9">
        <v>0.41</v>
      </c>
      <c r="F16" s="9">
        <v>0.42399999999999999</v>
      </c>
      <c r="G16" s="7">
        <v>83600</v>
      </c>
      <c r="H16" s="7">
        <v>86600</v>
      </c>
    </row>
    <row r="17" spans="1:8" x14ac:dyDescent="0.25">
      <c r="A17" s="47">
        <f>IF(AND('Experience Rating'!$E$26&gt;='Credibility&amp;MSLTable'!B17,'Experience Rating'!$E$26&lt;='Credibility&amp;MSLTable'!C17),1,0)</f>
        <v>0</v>
      </c>
      <c r="B17" s="7">
        <v>117253</v>
      </c>
      <c r="C17" s="7">
        <v>125868</v>
      </c>
      <c r="D17" s="8">
        <v>0.17</v>
      </c>
      <c r="E17" s="9">
        <v>0.41099999999999998</v>
      </c>
      <c r="F17" s="9">
        <v>0.42599999999999999</v>
      </c>
      <c r="G17" s="7">
        <v>85100</v>
      </c>
      <c r="H17" s="7">
        <v>88150</v>
      </c>
    </row>
    <row r="18" spans="1:8" x14ac:dyDescent="0.25">
      <c r="A18" s="47">
        <f>IF(AND('Experience Rating'!$E$26&gt;='Credibility&amp;MSLTable'!B18,'Experience Rating'!$E$26&lt;='Credibility&amp;MSLTable'!C18),1,0)</f>
        <v>0</v>
      </c>
      <c r="B18" s="7">
        <v>125869</v>
      </c>
      <c r="C18" s="7">
        <v>134692</v>
      </c>
      <c r="D18" s="8">
        <v>0.18</v>
      </c>
      <c r="E18" s="9">
        <v>0.41299999999999998</v>
      </c>
      <c r="F18" s="9">
        <v>0.42799999999999999</v>
      </c>
      <c r="G18" s="7">
        <v>86650</v>
      </c>
      <c r="H18" s="7">
        <v>89700</v>
      </c>
    </row>
    <row r="19" spans="1:8" x14ac:dyDescent="0.25">
      <c r="A19" s="47">
        <f>IF(AND('Experience Rating'!$E$26&gt;='Credibility&amp;MSLTable'!B19,'Experience Rating'!$E$26&lt;='Credibility&amp;MSLTable'!C19),1,0)</f>
        <v>0</v>
      </c>
      <c r="B19" s="7">
        <v>134693</v>
      </c>
      <c r="C19" s="7">
        <v>143735</v>
      </c>
      <c r="D19" s="8">
        <v>0.19</v>
      </c>
      <c r="E19" s="9">
        <v>0.41499999999999998</v>
      </c>
      <c r="F19" s="9">
        <v>0.42899999999999999</v>
      </c>
      <c r="G19" s="7">
        <v>88200</v>
      </c>
      <c r="H19" s="7">
        <v>91250</v>
      </c>
    </row>
    <row r="20" spans="1:8" x14ac:dyDescent="0.25">
      <c r="A20" s="47">
        <f>IF(AND('Experience Rating'!$E$26&gt;='Credibility&amp;MSLTable'!B20,'Experience Rating'!$E$26&lt;='Credibility&amp;MSLTable'!C20),1,0)</f>
        <v>0</v>
      </c>
      <c r="B20" s="7">
        <v>143736</v>
      </c>
      <c r="C20" s="7">
        <v>153009</v>
      </c>
      <c r="D20" s="8">
        <v>0.2</v>
      </c>
      <c r="E20" s="9">
        <v>0.41699999999999998</v>
      </c>
      <c r="F20" s="9">
        <v>0.43099999999999999</v>
      </c>
      <c r="G20" s="7">
        <v>89800</v>
      </c>
      <c r="H20" s="7">
        <v>92800</v>
      </c>
    </row>
    <row r="21" spans="1:8" x14ac:dyDescent="0.25">
      <c r="A21" s="47">
        <f>IF(AND('Experience Rating'!$E$26&gt;='Credibility&amp;MSLTable'!B21,'Experience Rating'!$E$26&lt;='Credibility&amp;MSLTable'!C21),1,0)</f>
        <v>0</v>
      </c>
      <c r="B21" s="7">
        <v>153010</v>
      </c>
      <c r="C21" s="7">
        <v>162515</v>
      </c>
      <c r="D21" s="8">
        <v>0.21</v>
      </c>
      <c r="E21" s="9">
        <v>0.41799999999999998</v>
      </c>
      <c r="F21" s="9">
        <v>0.432</v>
      </c>
      <c r="G21" s="7">
        <v>91400</v>
      </c>
      <c r="H21" s="7">
        <v>94400</v>
      </c>
    </row>
    <row r="22" spans="1:8" x14ac:dyDescent="0.25">
      <c r="A22" s="47">
        <f>IF(AND('Experience Rating'!$E$26&gt;='Credibility&amp;MSLTable'!B22,'Experience Rating'!$E$26&lt;='Credibility&amp;MSLTable'!C22),1,0)</f>
        <v>0</v>
      </c>
      <c r="B22" s="7">
        <v>162516</v>
      </c>
      <c r="C22" s="7">
        <v>172269</v>
      </c>
      <c r="D22" s="8">
        <v>0.22</v>
      </c>
      <c r="E22" s="9">
        <v>0.42</v>
      </c>
      <c r="F22" s="9">
        <v>0.433</v>
      </c>
      <c r="G22" s="7">
        <v>93000</v>
      </c>
      <c r="H22" s="7">
        <v>96000</v>
      </c>
    </row>
    <row r="23" spans="1:8" x14ac:dyDescent="0.25">
      <c r="A23" s="47">
        <f>IF(AND('Experience Rating'!$E$26&gt;='Credibility&amp;MSLTable'!B23,'Experience Rating'!$E$26&lt;='Credibility&amp;MSLTable'!C23),1,0)</f>
        <v>0</v>
      </c>
      <c r="B23" s="7">
        <v>172270</v>
      </c>
      <c r="C23" s="7">
        <v>182278</v>
      </c>
      <c r="D23" s="8">
        <v>0.23</v>
      </c>
      <c r="E23" s="9">
        <v>0.42099999999999999</v>
      </c>
      <c r="F23" s="9">
        <v>0.435</v>
      </c>
      <c r="G23" s="7">
        <v>94650</v>
      </c>
      <c r="H23" s="7">
        <v>97650</v>
      </c>
    </row>
    <row r="24" spans="1:8" x14ac:dyDescent="0.25">
      <c r="A24" s="47">
        <f>IF(AND('Experience Rating'!$E$26&gt;='Credibility&amp;MSLTable'!B24,'Experience Rating'!$E$26&lt;='Credibility&amp;MSLTable'!C24),1,0)</f>
        <v>0</v>
      </c>
      <c r="B24" s="7">
        <v>182279</v>
      </c>
      <c r="C24" s="7">
        <v>192551</v>
      </c>
      <c r="D24" s="8">
        <v>0.24</v>
      </c>
      <c r="E24" s="9">
        <v>0.42299999999999999</v>
      </c>
      <c r="F24" s="9">
        <v>0.436</v>
      </c>
      <c r="G24" s="7">
        <v>96300</v>
      </c>
      <c r="H24" s="7">
        <v>99300</v>
      </c>
    </row>
    <row r="25" spans="1:8" x14ac:dyDescent="0.25">
      <c r="A25" s="47">
        <f>IF(AND('Experience Rating'!$E$26&gt;='Credibility&amp;MSLTable'!B25,'Experience Rating'!$E$26&lt;='Credibility&amp;MSLTable'!C25),1,0)</f>
        <v>0</v>
      </c>
      <c r="B25" s="7">
        <v>192552</v>
      </c>
      <c r="C25" s="7">
        <v>203100</v>
      </c>
      <c r="D25" s="8">
        <v>0.25</v>
      </c>
      <c r="E25" s="9">
        <v>0.42399999999999999</v>
      </c>
      <c r="F25" s="9">
        <v>0.437</v>
      </c>
      <c r="G25" s="7">
        <v>98050</v>
      </c>
      <c r="H25" s="7">
        <v>101000</v>
      </c>
    </row>
    <row r="26" spans="1:8" x14ac:dyDescent="0.25">
      <c r="A26" s="47">
        <f>IF(AND('Experience Rating'!$E$26&gt;='Credibility&amp;MSLTable'!B26,'Experience Rating'!$E$26&lt;='Credibility&amp;MSLTable'!C26),1,0)</f>
        <v>0</v>
      </c>
      <c r="B26" s="7">
        <v>203101</v>
      </c>
      <c r="C26" s="7">
        <v>213938</v>
      </c>
      <c r="D26" s="8">
        <v>0.26</v>
      </c>
      <c r="E26" s="9">
        <v>0.42599999999999999</v>
      </c>
      <c r="F26" s="9">
        <v>0.439</v>
      </c>
      <c r="G26" s="7">
        <v>99750</v>
      </c>
      <c r="H26" s="7">
        <v>102750</v>
      </c>
    </row>
    <row r="27" spans="1:8" x14ac:dyDescent="0.25">
      <c r="A27" s="47">
        <f>IF(AND('Experience Rating'!$E$26&gt;='Credibility&amp;MSLTable'!B27,'Experience Rating'!$E$26&lt;='Credibility&amp;MSLTable'!C27),1,0)</f>
        <v>0</v>
      </c>
      <c r="B27" s="7">
        <v>213939</v>
      </c>
      <c r="C27" s="7">
        <v>225073</v>
      </c>
      <c r="D27" s="8">
        <v>0.27</v>
      </c>
      <c r="E27" s="9">
        <v>0.42699999999999999</v>
      </c>
      <c r="F27" s="9">
        <v>0.439</v>
      </c>
      <c r="G27" s="7">
        <v>101550</v>
      </c>
      <c r="H27" s="7">
        <v>104500</v>
      </c>
    </row>
    <row r="28" spans="1:8" x14ac:dyDescent="0.25">
      <c r="A28" s="47">
        <f>IF(AND('Experience Rating'!$E$26&gt;='Credibility&amp;MSLTable'!B28,'Experience Rating'!$E$26&lt;='Credibility&amp;MSLTable'!C28),1,0)</f>
        <v>0</v>
      </c>
      <c r="B28" s="7">
        <v>225074</v>
      </c>
      <c r="C28" s="7">
        <v>236519</v>
      </c>
      <c r="D28" s="8">
        <v>0.28000000000000003</v>
      </c>
      <c r="E28" s="9">
        <v>0.42899999999999999</v>
      </c>
      <c r="F28" s="9">
        <v>0.441</v>
      </c>
      <c r="G28" s="7">
        <v>103350</v>
      </c>
      <c r="H28" s="7">
        <v>106300</v>
      </c>
    </row>
    <row r="29" spans="1:8" x14ac:dyDescent="0.25">
      <c r="A29" s="47">
        <f>IF(AND('Experience Rating'!$E$26&gt;='Credibility&amp;MSLTable'!B29,'Experience Rating'!$E$26&lt;='Credibility&amp;MSLTable'!C29),1,0)</f>
        <v>0</v>
      </c>
      <c r="B29" s="7">
        <v>236520</v>
      </c>
      <c r="C29" s="7">
        <v>248291</v>
      </c>
      <c r="D29" s="8">
        <v>0.28999999999999998</v>
      </c>
      <c r="E29" s="9">
        <v>0.43</v>
      </c>
      <c r="F29" s="9">
        <v>0.442</v>
      </c>
      <c r="G29" s="7">
        <v>105250</v>
      </c>
      <c r="H29" s="7">
        <v>108150</v>
      </c>
    </row>
    <row r="30" spans="1:8" x14ac:dyDescent="0.25">
      <c r="A30" s="47">
        <f>IF(AND('Experience Rating'!$E$26&gt;='Credibility&amp;MSLTable'!B30,'Experience Rating'!$E$26&lt;='Credibility&amp;MSLTable'!C30),1,0)</f>
        <v>0</v>
      </c>
      <c r="B30" s="7">
        <v>248292</v>
      </c>
      <c r="C30" s="7">
        <v>260402</v>
      </c>
      <c r="D30" s="8">
        <v>0.3</v>
      </c>
      <c r="E30" s="9">
        <v>0.43099999999999999</v>
      </c>
      <c r="F30" s="9">
        <v>0.443</v>
      </c>
      <c r="G30" s="7">
        <v>107100</v>
      </c>
      <c r="H30" s="7">
        <v>110500</v>
      </c>
    </row>
    <row r="31" spans="1:8" x14ac:dyDescent="0.25">
      <c r="A31" s="47">
        <f>IF(AND('Experience Rating'!$E$26&gt;='Credibility&amp;MSLTable'!B31,'Experience Rating'!$E$26&lt;='Credibility&amp;MSLTable'!C31),1,0)</f>
        <v>0</v>
      </c>
      <c r="B31" s="7">
        <v>260403</v>
      </c>
      <c r="C31" s="7">
        <v>272865</v>
      </c>
      <c r="D31" s="8">
        <v>0.31</v>
      </c>
      <c r="E31" s="9">
        <v>0.433</v>
      </c>
      <c r="F31" s="9">
        <v>0.44400000000000001</v>
      </c>
      <c r="G31" s="7">
        <v>109050</v>
      </c>
      <c r="H31" s="7">
        <v>111950</v>
      </c>
    </row>
    <row r="32" spans="1:8" x14ac:dyDescent="0.25">
      <c r="A32" s="47">
        <f>IF(AND('Experience Rating'!$E$26&gt;='Credibility&amp;MSLTable'!B32,'Experience Rating'!$E$26&lt;='Credibility&amp;MSLTable'!C32),1,0)</f>
        <v>1</v>
      </c>
      <c r="B32" s="7">
        <v>272866</v>
      </c>
      <c r="C32" s="7">
        <v>285699</v>
      </c>
      <c r="D32" s="8">
        <v>0.32</v>
      </c>
      <c r="E32" s="9">
        <v>0.434</v>
      </c>
      <c r="F32" s="9">
        <v>0.44600000000000001</v>
      </c>
      <c r="G32" s="7">
        <v>111050</v>
      </c>
      <c r="H32" s="7">
        <v>113900</v>
      </c>
    </row>
    <row r="33" spans="1:8" x14ac:dyDescent="0.25">
      <c r="A33" s="47">
        <f>IF(AND('Experience Rating'!$E$26&gt;='Credibility&amp;MSLTable'!B33,'Experience Rating'!$E$26&lt;='Credibility&amp;MSLTable'!C33),1,0)</f>
        <v>0</v>
      </c>
      <c r="B33" s="7">
        <v>285700</v>
      </c>
      <c r="C33" s="7">
        <v>298917</v>
      </c>
      <c r="D33" s="8">
        <v>0.33</v>
      </c>
      <c r="E33" s="9">
        <v>0.435</v>
      </c>
      <c r="F33" s="9">
        <v>0.44600000000000001</v>
      </c>
      <c r="G33" s="7">
        <v>113100</v>
      </c>
      <c r="H33" s="7">
        <v>115950</v>
      </c>
    </row>
    <row r="34" spans="1:8" x14ac:dyDescent="0.25">
      <c r="A34" s="47">
        <f>IF(AND('Experience Rating'!$E$26&gt;='Credibility&amp;MSLTable'!B34,'Experience Rating'!$E$26&lt;='Credibility&amp;MSLTable'!C34),1,0)</f>
        <v>0</v>
      </c>
      <c r="B34" s="7">
        <v>298918</v>
      </c>
      <c r="C34" s="7">
        <v>312541</v>
      </c>
      <c r="D34" s="8">
        <v>0.34</v>
      </c>
      <c r="E34" s="9">
        <v>0.437</v>
      </c>
      <c r="F34" s="9">
        <v>0.44700000000000001</v>
      </c>
      <c r="G34" s="7">
        <v>115200</v>
      </c>
      <c r="H34" s="7">
        <v>118000</v>
      </c>
    </row>
    <row r="35" spans="1:8" x14ac:dyDescent="0.25">
      <c r="A35" s="47">
        <f>IF(AND('Experience Rating'!$E$26&gt;='Credibility&amp;MSLTable'!B35,'Experience Rating'!$E$26&lt;='Credibility&amp;MSLTable'!C35),1,0)</f>
        <v>0</v>
      </c>
      <c r="B35" s="7">
        <v>312542</v>
      </c>
      <c r="C35" s="7">
        <v>326585</v>
      </c>
      <c r="D35" s="8">
        <v>0.35</v>
      </c>
      <c r="E35" s="9">
        <v>0.438</v>
      </c>
      <c r="F35" s="9">
        <v>0.44800000000000001</v>
      </c>
      <c r="G35" s="7">
        <v>117350</v>
      </c>
      <c r="H35" s="7">
        <v>120100</v>
      </c>
    </row>
    <row r="36" spans="1:8" x14ac:dyDescent="0.25">
      <c r="A36" s="47">
        <f>IF(AND('Experience Rating'!$E$26&gt;='Credibility&amp;MSLTable'!B36,'Experience Rating'!$E$26&lt;='Credibility&amp;MSLTable'!C36),1,0)</f>
        <v>0</v>
      </c>
      <c r="B36" s="7">
        <v>326586</v>
      </c>
      <c r="C36" s="7">
        <v>341073</v>
      </c>
      <c r="D36" s="8">
        <v>0.36</v>
      </c>
      <c r="E36" s="9">
        <v>0.439</v>
      </c>
      <c r="F36" s="9">
        <v>0.44900000000000001</v>
      </c>
      <c r="G36" s="7">
        <v>119550</v>
      </c>
      <c r="H36" s="7">
        <v>122300</v>
      </c>
    </row>
    <row r="37" spans="1:8" x14ac:dyDescent="0.25">
      <c r="A37" s="47">
        <f>IF(AND('Experience Rating'!$E$26&gt;='Credibility&amp;MSLTable'!B37,'Experience Rating'!$E$26&lt;='Credibility&amp;MSLTable'!C37),1,0)</f>
        <v>0</v>
      </c>
      <c r="B37" s="7">
        <v>341074</v>
      </c>
      <c r="C37" s="7">
        <v>356026</v>
      </c>
      <c r="D37" s="8">
        <v>0.37</v>
      </c>
      <c r="E37" s="9">
        <v>0.44</v>
      </c>
      <c r="F37" s="9">
        <v>0.45</v>
      </c>
      <c r="G37" s="7">
        <v>121800</v>
      </c>
      <c r="H37" s="7">
        <v>124550</v>
      </c>
    </row>
    <row r="38" spans="1:8" x14ac:dyDescent="0.25">
      <c r="A38" s="47">
        <f>IF(AND('Experience Rating'!$E$26&gt;='Credibility&amp;MSLTable'!B38,'Experience Rating'!$E$26&lt;='Credibility&amp;MSLTable'!C38),1,0)</f>
        <v>0</v>
      </c>
      <c r="B38" s="7">
        <v>356027</v>
      </c>
      <c r="C38" s="7">
        <v>371462</v>
      </c>
      <c r="D38" s="8">
        <v>0.38</v>
      </c>
      <c r="E38" s="9">
        <v>0.442</v>
      </c>
      <c r="F38" s="9">
        <v>0.45100000000000001</v>
      </c>
      <c r="G38" s="7">
        <v>124100</v>
      </c>
      <c r="H38" s="7">
        <v>126800</v>
      </c>
    </row>
    <row r="39" spans="1:8" x14ac:dyDescent="0.25">
      <c r="A39" s="47">
        <f>IF(AND('Experience Rating'!$E$26&gt;='Credibility&amp;MSLTable'!B39,'Experience Rating'!$E$26&lt;='Credibility&amp;MSLTable'!C39),1,0)</f>
        <v>0</v>
      </c>
      <c r="B39" s="7">
        <v>371463</v>
      </c>
      <c r="C39" s="7">
        <v>387410</v>
      </c>
      <c r="D39" s="8">
        <v>0.39</v>
      </c>
      <c r="E39" s="9">
        <v>0.443</v>
      </c>
      <c r="F39" s="9">
        <v>0.45200000000000001</v>
      </c>
      <c r="G39" s="7">
        <v>126500</v>
      </c>
      <c r="H39" s="7">
        <v>129200</v>
      </c>
    </row>
    <row r="40" spans="1:8" x14ac:dyDescent="0.25">
      <c r="A40" s="47">
        <f>IF(AND('Experience Rating'!$E$26&gt;='Credibility&amp;MSLTable'!B40,'Experience Rating'!$E$26&lt;='Credibility&amp;MSLTable'!C40),1,0)</f>
        <v>0</v>
      </c>
      <c r="B40" s="7">
        <v>387411</v>
      </c>
      <c r="C40" s="7">
        <v>403893</v>
      </c>
      <c r="D40" s="8">
        <v>0.4</v>
      </c>
      <c r="E40" s="9">
        <v>0.44400000000000001</v>
      </c>
      <c r="F40" s="9">
        <v>0.45300000000000001</v>
      </c>
      <c r="G40" s="7">
        <v>128950</v>
      </c>
      <c r="H40" s="7">
        <v>131600</v>
      </c>
    </row>
    <row r="41" spans="1:8" x14ac:dyDescent="0.25">
      <c r="A41" s="47">
        <f>IF(AND('Experience Rating'!$E$26&gt;='Credibility&amp;MSLTable'!B41,'Experience Rating'!$E$26&lt;='Credibility&amp;MSLTable'!C41),1,0)</f>
        <v>0</v>
      </c>
      <c r="B41" s="7">
        <v>403894</v>
      </c>
      <c r="C41" s="7">
        <v>420940</v>
      </c>
      <c r="D41" s="8">
        <v>0.41</v>
      </c>
      <c r="E41" s="9">
        <v>0.44500000000000001</v>
      </c>
      <c r="F41" s="9">
        <v>0.45400000000000001</v>
      </c>
      <c r="G41" s="7">
        <v>131500</v>
      </c>
      <c r="H41" s="7">
        <v>134100</v>
      </c>
    </row>
    <row r="42" spans="1:8" x14ac:dyDescent="0.25">
      <c r="A42" s="47">
        <f>IF(AND('Experience Rating'!$E$26&gt;='Credibility&amp;MSLTable'!B42,'Experience Rating'!$E$26&lt;='Credibility&amp;MSLTable'!C42),1,0)</f>
        <v>0</v>
      </c>
      <c r="B42" s="7">
        <v>420941</v>
      </c>
      <c r="C42" s="7">
        <v>438581</v>
      </c>
      <c r="D42" s="8">
        <v>0.42</v>
      </c>
      <c r="E42" s="9">
        <v>0.44600000000000001</v>
      </c>
      <c r="F42" s="9">
        <v>0.45400000000000001</v>
      </c>
      <c r="G42" s="7">
        <v>134100</v>
      </c>
      <c r="H42" s="7">
        <v>136650</v>
      </c>
    </row>
    <row r="43" spans="1:8" x14ac:dyDescent="0.25">
      <c r="A43" s="47">
        <f>IF(AND('Experience Rating'!$E$26&gt;='Credibility&amp;MSLTable'!B43,'Experience Rating'!$E$26&lt;='Credibility&amp;MSLTable'!C43),1,0)</f>
        <v>0</v>
      </c>
      <c r="B43" s="7">
        <v>438582</v>
      </c>
      <c r="C43" s="7">
        <v>456846</v>
      </c>
      <c r="D43" s="8">
        <v>0.43</v>
      </c>
      <c r="E43" s="9">
        <v>0.44700000000000001</v>
      </c>
      <c r="F43" s="9">
        <v>0.45500000000000002</v>
      </c>
      <c r="G43" s="7">
        <v>136800</v>
      </c>
      <c r="H43" s="7">
        <v>139300</v>
      </c>
    </row>
    <row r="44" spans="1:8" x14ac:dyDescent="0.25">
      <c r="A44" s="47">
        <f>IF(AND('Experience Rating'!$E$26&gt;='Credibility&amp;MSLTable'!B44,'Experience Rating'!$E$26&lt;='Credibility&amp;MSLTable'!C44),1,0)</f>
        <v>0</v>
      </c>
      <c r="B44" s="7">
        <v>456847</v>
      </c>
      <c r="C44" s="7">
        <v>475769</v>
      </c>
      <c r="D44" s="8">
        <v>0.44</v>
      </c>
      <c r="E44" s="9">
        <v>0.44800000000000001</v>
      </c>
      <c r="F44" s="9">
        <v>0.45600000000000002</v>
      </c>
      <c r="G44" s="7">
        <v>139550</v>
      </c>
      <c r="H44" s="7">
        <v>142050</v>
      </c>
    </row>
    <row r="45" spans="1:8" x14ac:dyDescent="0.25">
      <c r="A45" s="47">
        <f>IF(AND('Experience Rating'!$E$26&gt;='Credibility&amp;MSLTable'!B45,'Experience Rating'!$E$26&lt;='Credibility&amp;MSLTable'!C45),1,0)</f>
        <v>0</v>
      </c>
      <c r="B45" s="7">
        <v>475770</v>
      </c>
      <c r="C45" s="7">
        <v>495387</v>
      </c>
      <c r="D45" s="8">
        <v>0.45</v>
      </c>
      <c r="E45" s="9">
        <v>0.44900000000000001</v>
      </c>
      <c r="F45" s="9">
        <v>0.45700000000000002</v>
      </c>
      <c r="G45" s="7">
        <v>142400</v>
      </c>
      <c r="H45" s="7">
        <v>144850</v>
      </c>
    </row>
    <row r="46" spans="1:8" x14ac:dyDescent="0.25">
      <c r="A46" s="47">
        <f>IF(AND('Experience Rating'!$E$26&gt;='Credibility&amp;MSLTable'!B46,'Experience Rating'!$E$26&lt;='Credibility&amp;MSLTable'!C46),1,0)</f>
        <v>0</v>
      </c>
      <c r="B46" s="7">
        <v>495388</v>
      </c>
      <c r="C46" s="7">
        <v>515737</v>
      </c>
      <c r="D46" s="8">
        <v>0.46</v>
      </c>
      <c r="E46" s="9">
        <v>0.45</v>
      </c>
      <c r="F46" s="9">
        <v>0.45700000000000002</v>
      </c>
      <c r="G46" s="7">
        <v>145350</v>
      </c>
      <c r="H46" s="7">
        <v>147800</v>
      </c>
    </row>
    <row r="47" spans="1:8" x14ac:dyDescent="0.25">
      <c r="A47" s="47">
        <f>IF(AND('Experience Rating'!$E$26&gt;='Credibility&amp;MSLTable'!B47,'Experience Rating'!$E$26&lt;='Credibility&amp;MSLTable'!C47),1,0)</f>
        <v>0</v>
      </c>
      <c r="B47" s="7">
        <v>515738</v>
      </c>
      <c r="C47" s="7">
        <v>536863</v>
      </c>
      <c r="D47" s="8">
        <v>0.47</v>
      </c>
      <c r="E47" s="9">
        <v>0.45100000000000001</v>
      </c>
      <c r="F47" s="9">
        <v>0.45800000000000002</v>
      </c>
      <c r="G47" s="7">
        <v>148450</v>
      </c>
      <c r="H47" s="7">
        <v>150800</v>
      </c>
    </row>
    <row r="48" spans="1:8" x14ac:dyDescent="0.25">
      <c r="A48" s="47">
        <f>IF(AND('Experience Rating'!$E$26&gt;='Credibility&amp;MSLTable'!B48,'Experience Rating'!$E$26&lt;='Credibility&amp;MSLTable'!C48),1,0)</f>
        <v>0</v>
      </c>
      <c r="B48" s="7">
        <v>536864</v>
      </c>
      <c r="C48" s="7">
        <v>558810</v>
      </c>
      <c r="D48" s="8">
        <v>0.48</v>
      </c>
      <c r="E48" s="9">
        <v>0.45200000000000001</v>
      </c>
      <c r="F48" s="9">
        <v>0.45900000000000002</v>
      </c>
      <c r="G48" s="7">
        <v>151600</v>
      </c>
      <c r="H48" s="7">
        <v>153900</v>
      </c>
    </row>
    <row r="49" spans="1:8" x14ac:dyDescent="0.25">
      <c r="A49" s="47">
        <f>IF(AND('Experience Rating'!$E$26&gt;='Credibility&amp;MSLTable'!B49,'Experience Rating'!$E$26&lt;='Credibility&amp;MSLTable'!C49),1,0)</f>
        <v>0</v>
      </c>
      <c r="B49" s="7">
        <v>558811</v>
      </c>
      <c r="C49" s="7">
        <v>581624</v>
      </c>
      <c r="D49" s="8">
        <v>0.49</v>
      </c>
      <c r="E49" s="9">
        <v>0.45300000000000001</v>
      </c>
      <c r="F49" s="9">
        <v>0.45900000000000002</v>
      </c>
      <c r="G49" s="7">
        <v>154850</v>
      </c>
      <c r="H49" s="7">
        <v>157150</v>
      </c>
    </row>
    <row r="50" spans="1:8" x14ac:dyDescent="0.25">
      <c r="A50" s="47">
        <f>IF(AND('Experience Rating'!$E$26&gt;='Credibility&amp;MSLTable'!B50,'Experience Rating'!$E$26&lt;='Credibility&amp;MSLTable'!C50),1,0)</f>
        <v>0</v>
      </c>
      <c r="B50" s="7">
        <v>581625</v>
      </c>
      <c r="C50" s="7">
        <v>605363</v>
      </c>
      <c r="D50" s="8">
        <v>0.5</v>
      </c>
      <c r="E50" s="9">
        <v>0.45300000000000001</v>
      </c>
      <c r="F50" s="9">
        <v>0.46</v>
      </c>
      <c r="G50" s="7">
        <v>158250</v>
      </c>
      <c r="H50" s="7">
        <v>160450</v>
      </c>
    </row>
    <row r="51" spans="1:8" x14ac:dyDescent="0.25">
      <c r="A51" s="47">
        <f>IF(AND('Experience Rating'!$E$26&gt;='Credibility&amp;MSLTable'!B51,'Experience Rating'!$E$26&lt;='Credibility&amp;MSLTable'!C51),1,0)</f>
        <v>0</v>
      </c>
      <c r="B51" s="7">
        <v>605364</v>
      </c>
      <c r="C51" s="7">
        <v>630079</v>
      </c>
      <c r="D51" s="8">
        <v>0.51</v>
      </c>
      <c r="E51" s="9">
        <v>0.45400000000000001</v>
      </c>
      <c r="F51" s="9">
        <v>0.46100000000000002</v>
      </c>
      <c r="G51" s="7">
        <v>161750</v>
      </c>
      <c r="H51" s="7">
        <v>163950</v>
      </c>
    </row>
    <row r="52" spans="1:8" x14ac:dyDescent="0.25">
      <c r="A52" s="47">
        <f>IF(AND('Experience Rating'!$E$26&gt;='Credibility&amp;MSLTable'!B52,'Experience Rating'!$E$26&lt;='Credibility&amp;MSLTable'!C52),1,0)</f>
        <v>0</v>
      </c>
      <c r="B52" s="7">
        <v>630080</v>
      </c>
      <c r="C52" s="7">
        <v>655835</v>
      </c>
      <c r="D52" s="8">
        <v>0.52</v>
      </c>
      <c r="E52" s="9">
        <v>0.45500000000000002</v>
      </c>
      <c r="F52" s="9">
        <v>0.46100000000000002</v>
      </c>
      <c r="G52" s="7">
        <v>165400</v>
      </c>
      <c r="H52" s="7">
        <v>167550</v>
      </c>
    </row>
    <row r="53" spans="1:8" x14ac:dyDescent="0.25">
      <c r="A53" s="47">
        <f>IF(AND('Experience Rating'!$E$26&gt;='Credibility&amp;MSLTable'!B53,'Experience Rating'!$E$26&lt;='Credibility&amp;MSLTable'!C53),1,0)</f>
        <v>0</v>
      </c>
      <c r="B53" s="7">
        <v>655836</v>
      </c>
      <c r="C53" s="7">
        <v>682701</v>
      </c>
      <c r="D53" s="8">
        <v>0.53</v>
      </c>
      <c r="E53" s="9">
        <v>0.45600000000000002</v>
      </c>
      <c r="F53" s="9">
        <v>0.46100000000000002</v>
      </c>
      <c r="G53" s="7">
        <v>169200</v>
      </c>
      <c r="H53" s="7">
        <v>171300</v>
      </c>
    </row>
    <row r="54" spans="1:8" x14ac:dyDescent="0.25">
      <c r="A54" s="47">
        <f>IF(AND('Experience Rating'!$E$26&gt;='Credibility&amp;MSLTable'!B54,'Experience Rating'!$E$26&lt;='Credibility&amp;MSLTable'!C54),1,0)</f>
        <v>0</v>
      </c>
      <c r="B54" s="7">
        <v>682702</v>
      </c>
      <c r="C54" s="7">
        <v>710746</v>
      </c>
      <c r="D54" s="8">
        <v>0.54</v>
      </c>
      <c r="E54" s="9">
        <v>0.45700000000000002</v>
      </c>
      <c r="F54" s="9">
        <v>0.46200000000000002</v>
      </c>
      <c r="G54" s="7">
        <v>173150</v>
      </c>
      <c r="H54" s="7">
        <v>175200</v>
      </c>
    </row>
    <row r="55" spans="1:8" x14ac:dyDescent="0.25">
      <c r="A55" s="47">
        <f>IF(AND('Experience Rating'!$E$26&gt;='Credibility&amp;MSLTable'!B55,'Experience Rating'!$E$26&lt;='Credibility&amp;MSLTable'!C55),1,0)</f>
        <v>0</v>
      </c>
      <c r="B55" s="7">
        <v>710747</v>
      </c>
      <c r="C55" s="7">
        <v>740051</v>
      </c>
      <c r="D55" s="8">
        <v>0.55000000000000004</v>
      </c>
      <c r="E55" s="9">
        <v>0.45700000000000002</v>
      </c>
      <c r="F55" s="9">
        <v>0.46200000000000002</v>
      </c>
      <c r="G55" s="7">
        <v>177250</v>
      </c>
      <c r="H55" s="7">
        <v>179250</v>
      </c>
    </row>
    <row r="56" spans="1:8" x14ac:dyDescent="0.25">
      <c r="A56" s="47">
        <f>IF(AND('Experience Rating'!$E$26&gt;='Credibility&amp;MSLTable'!B56,'Experience Rating'!$E$26&lt;='Credibility&amp;MSLTable'!C56),1,0)</f>
        <v>0</v>
      </c>
      <c r="B56" s="7">
        <v>740052</v>
      </c>
      <c r="C56" s="7">
        <v>770705</v>
      </c>
      <c r="D56" s="8">
        <v>0.56000000000000005</v>
      </c>
      <c r="E56" s="9">
        <v>0.45800000000000002</v>
      </c>
      <c r="F56" s="9">
        <v>0.46300000000000002</v>
      </c>
      <c r="G56" s="7">
        <v>181550</v>
      </c>
      <c r="H56" s="7">
        <v>183450</v>
      </c>
    </row>
    <row r="57" spans="1:8" x14ac:dyDescent="0.25">
      <c r="A57" s="47">
        <f>IF(AND('Experience Rating'!$E$26&gt;='Credibility&amp;MSLTable'!B57,'Experience Rating'!$E$26&lt;='Credibility&amp;MSLTable'!C57),1,0)</f>
        <v>0</v>
      </c>
      <c r="B57" s="7">
        <v>770706</v>
      </c>
      <c r="C57" s="7">
        <v>802801</v>
      </c>
      <c r="D57" s="8">
        <v>0.56999999999999995</v>
      </c>
      <c r="E57" s="9">
        <v>0.45900000000000002</v>
      </c>
      <c r="F57" s="9">
        <v>0.46300000000000002</v>
      </c>
      <c r="G57" s="7">
        <v>186000</v>
      </c>
      <c r="H57" s="7">
        <v>187850</v>
      </c>
    </row>
    <row r="58" spans="1:8" x14ac:dyDescent="0.25">
      <c r="A58" s="47">
        <f>IF(AND('Experience Rating'!$E$26&gt;='Credibility&amp;MSLTable'!B58,'Experience Rating'!$E$26&lt;='Credibility&amp;MSLTable'!C58),1,0)</f>
        <v>0</v>
      </c>
      <c r="B58" s="7">
        <v>802802</v>
      </c>
      <c r="C58" s="7">
        <v>836444</v>
      </c>
      <c r="D58" s="8">
        <v>0.57999999999999996</v>
      </c>
      <c r="E58" s="9">
        <v>0.45900000000000002</v>
      </c>
      <c r="F58" s="9">
        <v>0.46300000000000002</v>
      </c>
      <c r="G58" s="7">
        <v>190650</v>
      </c>
      <c r="H58" s="7">
        <v>192500</v>
      </c>
    </row>
    <row r="59" spans="1:8" x14ac:dyDescent="0.25">
      <c r="A59" s="47">
        <f>IF(AND('Experience Rating'!$E$26&gt;='Credibility&amp;MSLTable'!B59,'Experience Rating'!$E$26&lt;='Credibility&amp;MSLTable'!C59),1,0)</f>
        <v>0</v>
      </c>
      <c r="B59" s="7">
        <v>836445</v>
      </c>
      <c r="C59" s="7">
        <v>871750</v>
      </c>
      <c r="D59" s="8">
        <v>0.59</v>
      </c>
      <c r="E59" s="9">
        <v>0.46</v>
      </c>
      <c r="F59" s="9">
        <v>0.46400000000000002</v>
      </c>
      <c r="G59" s="7">
        <v>195550</v>
      </c>
      <c r="H59" s="7">
        <v>197300</v>
      </c>
    </row>
    <row r="60" spans="1:8" x14ac:dyDescent="0.25">
      <c r="A60" s="47">
        <f>IF(AND('Experience Rating'!$E$26&gt;='Credibility&amp;MSLTable'!B60,'Experience Rating'!$E$26&lt;='Credibility&amp;MSLTable'!C60),1,0)</f>
        <v>0</v>
      </c>
      <c r="B60" s="7">
        <v>871751</v>
      </c>
      <c r="C60" s="7">
        <v>908840</v>
      </c>
      <c r="D60" s="8">
        <v>0.6</v>
      </c>
      <c r="E60" s="9">
        <v>0.46100000000000002</v>
      </c>
      <c r="F60" s="9">
        <v>0.46400000000000002</v>
      </c>
      <c r="G60" s="7">
        <v>200650</v>
      </c>
      <c r="H60" s="7">
        <v>202350</v>
      </c>
    </row>
    <row r="61" spans="1:8" x14ac:dyDescent="0.25">
      <c r="A61" s="47">
        <f>IF(AND('Experience Rating'!$E$26&gt;='Credibility&amp;MSLTable'!B61,'Experience Rating'!$E$26&lt;='Credibility&amp;MSLTable'!C61),1,0)</f>
        <v>0</v>
      </c>
      <c r="B61" s="7">
        <v>908841</v>
      </c>
      <c r="C61" s="7">
        <v>947859</v>
      </c>
      <c r="D61" s="8">
        <v>0.61</v>
      </c>
      <c r="E61" s="9">
        <v>0.46100000000000002</v>
      </c>
      <c r="F61" s="9">
        <v>0.46500000000000002</v>
      </c>
      <c r="G61" s="7">
        <v>206000</v>
      </c>
      <c r="H61" s="7">
        <v>207650</v>
      </c>
    </row>
    <row r="62" spans="1:8" x14ac:dyDescent="0.25">
      <c r="A62" s="47">
        <f>IF(AND('Experience Rating'!$E$26&gt;='Credibility&amp;MSLTable'!B62,'Experience Rating'!$E$26&lt;='Credibility&amp;MSLTable'!C62),1,0)</f>
        <v>0</v>
      </c>
      <c r="B62" s="7">
        <v>947860</v>
      </c>
      <c r="C62" s="7">
        <v>988959</v>
      </c>
      <c r="D62" s="8">
        <v>0.62</v>
      </c>
      <c r="E62" s="9">
        <v>0.46100000000000002</v>
      </c>
      <c r="F62" s="9">
        <v>0.46500000000000002</v>
      </c>
      <c r="G62" s="7">
        <v>211600</v>
      </c>
      <c r="H62" s="7">
        <v>213200</v>
      </c>
    </row>
    <row r="63" spans="1:8" x14ac:dyDescent="0.25">
      <c r="A63" s="47">
        <f>IF(AND('Experience Rating'!$E$26&gt;='Credibility&amp;MSLTable'!B63,'Experience Rating'!$E$26&lt;='Credibility&amp;MSLTable'!C63),1,0)</f>
        <v>0</v>
      </c>
      <c r="B63" s="7">
        <v>988960</v>
      </c>
      <c r="C63" s="7">
        <v>1032310</v>
      </c>
      <c r="D63" s="8">
        <v>0.63</v>
      </c>
      <c r="E63" s="9">
        <v>0.46200000000000002</v>
      </c>
      <c r="F63" s="9">
        <v>0.46500000000000002</v>
      </c>
      <c r="G63" s="7">
        <v>217500</v>
      </c>
      <c r="H63" s="7">
        <v>219050</v>
      </c>
    </row>
    <row r="64" spans="1:8" x14ac:dyDescent="0.25">
      <c r="A64" s="47">
        <f>IF(AND('Experience Rating'!$E$26&gt;='Credibility&amp;MSLTable'!B64,'Experience Rating'!$E$26&lt;='Credibility&amp;MSLTable'!C64),1,0)</f>
        <v>0</v>
      </c>
      <c r="B64" s="7">
        <v>1032311</v>
      </c>
      <c r="C64" s="7">
        <v>1078105</v>
      </c>
      <c r="D64" s="8">
        <v>0.64</v>
      </c>
      <c r="E64" s="9">
        <v>0.46200000000000002</v>
      </c>
      <c r="F64" s="9">
        <v>0.46500000000000002</v>
      </c>
      <c r="G64" s="7">
        <v>223750</v>
      </c>
      <c r="H64" s="7">
        <v>225200</v>
      </c>
    </row>
    <row r="65" spans="1:8" x14ac:dyDescent="0.25">
      <c r="A65" s="47">
        <f>IF(AND('Experience Rating'!$E$26&gt;='Credibility&amp;MSLTable'!B65,'Experience Rating'!$E$26&lt;='Credibility&amp;MSLTable'!C65),1,0)</f>
        <v>0</v>
      </c>
      <c r="B65" s="7">
        <v>1078106</v>
      </c>
      <c r="C65" s="7">
        <v>1126553</v>
      </c>
      <c r="D65" s="8">
        <v>0.65</v>
      </c>
      <c r="E65" s="9">
        <v>0.46300000000000002</v>
      </c>
      <c r="F65" s="9">
        <v>0.46600000000000003</v>
      </c>
      <c r="G65" s="7">
        <v>230300</v>
      </c>
      <c r="H65" s="7">
        <v>231700</v>
      </c>
    </row>
    <row r="66" spans="1:8" x14ac:dyDescent="0.25">
      <c r="A66" s="47">
        <f>IF(AND('Experience Rating'!$E$26&gt;='Credibility&amp;MSLTable'!B66,'Experience Rating'!$E$26&lt;='Credibility&amp;MSLTable'!C66),1,0)</f>
        <v>0</v>
      </c>
      <c r="B66" s="7">
        <v>1126554</v>
      </c>
      <c r="C66" s="7">
        <v>1177895</v>
      </c>
      <c r="D66" s="8">
        <v>0.66</v>
      </c>
      <c r="E66" s="9">
        <v>0.46300000000000002</v>
      </c>
      <c r="F66" s="9">
        <v>0.46600000000000003</v>
      </c>
      <c r="G66" s="7">
        <v>237200</v>
      </c>
      <c r="H66" s="7">
        <v>238550</v>
      </c>
    </row>
    <row r="67" spans="1:8" x14ac:dyDescent="0.25">
      <c r="A67" s="47">
        <f>IF(AND('Experience Rating'!$E$26&gt;='Credibility&amp;MSLTable'!B67,'Experience Rating'!$E$26&lt;='Credibility&amp;MSLTable'!C67),1,0)</f>
        <v>0</v>
      </c>
      <c r="B67" s="7">
        <v>1177896</v>
      </c>
      <c r="C67" s="7">
        <v>1232395</v>
      </c>
      <c r="D67" s="8">
        <v>0.67</v>
      </c>
      <c r="E67" s="9">
        <v>0.46400000000000002</v>
      </c>
      <c r="F67" s="9">
        <v>0.46600000000000003</v>
      </c>
      <c r="G67" s="7">
        <v>244500</v>
      </c>
      <c r="H67" s="7">
        <v>245800</v>
      </c>
    </row>
    <row r="68" spans="1:8" x14ac:dyDescent="0.25">
      <c r="A68" s="47">
        <f>IF(AND('Experience Rating'!$E$26&gt;='Credibility&amp;MSLTable'!B68,'Experience Rating'!$E$26&lt;='Credibility&amp;MSLTable'!C68),1,0)</f>
        <v>0</v>
      </c>
      <c r="B68" s="7">
        <v>1232396</v>
      </c>
      <c r="C68" s="7">
        <v>1290357</v>
      </c>
      <c r="D68" s="8">
        <v>0.68</v>
      </c>
      <c r="E68" s="9">
        <v>0.46400000000000002</v>
      </c>
      <c r="F68" s="9">
        <v>0.46600000000000003</v>
      </c>
      <c r="G68" s="7">
        <v>252300</v>
      </c>
      <c r="H68" s="7">
        <v>253500</v>
      </c>
    </row>
    <row r="69" spans="1:8" x14ac:dyDescent="0.25">
      <c r="A69" s="47">
        <f>IF(AND('Experience Rating'!$E$26&gt;='Credibility&amp;MSLTable'!B69,'Experience Rating'!$E$26&lt;='Credibility&amp;MSLTable'!C69),1,0)</f>
        <v>0</v>
      </c>
      <c r="B69" s="7">
        <v>1290358</v>
      </c>
      <c r="C69" s="7">
        <v>1352118</v>
      </c>
      <c r="D69" s="8">
        <v>0.69</v>
      </c>
      <c r="E69" s="9">
        <v>0.46400000000000002</v>
      </c>
      <c r="F69" s="9">
        <v>0.46700000000000003</v>
      </c>
      <c r="G69" s="7">
        <v>260500</v>
      </c>
      <c r="H69" s="7">
        <v>261700</v>
      </c>
    </row>
    <row r="70" spans="1:8" x14ac:dyDescent="0.25">
      <c r="A70" s="47">
        <f>IF(AND('Experience Rating'!$E$26&gt;='Credibility&amp;MSLTable'!B70,'Experience Rating'!$E$26&lt;='Credibility&amp;MSLTable'!C70),1,0)</f>
        <v>0</v>
      </c>
      <c r="B70" s="7">
        <v>1352119</v>
      </c>
      <c r="C70" s="7">
        <v>1418066</v>
      </c>
      <c r="D70" s="8">
        <v>0.7</v>
      </c>
      <c r="E70" s="9">
        <v>0.46500000000000002</v>
      </c>
      <c r="F70" s="9">
        <v>0.46700000000000003</v>
      </c>
      <c r="G70" s="7">
        <v>269300</v>
      </c>
      <c r="H70" s="7">
        <v>270400</v>
      </c>
    </row>
    <row r="71" spans="1:8" x14ac:dyDescent="0.25">
      <c r="A71" s="47">
        <f>IF(AND('Experience Rating'!$E$26&gt;='Credibility&amp;MSLTable'!B71,'Experience Rating'!$E$26&lt;='Credibility&amp;MSLTable'!C71),1,0)</f>
        <v>0</v>
      </c>
      <c r="B71" s="7">
        <v>1418067</v>
      </c>
      <c r="C71" s="7">
        <v>1488643</v>
      </c>
      <c r="D71" s="8">
        <v>0.71</v>
      </c>
      <c r="E71" s="9">
        <v>0.46500000000000002</v>
      </c>
      <c r="F71" s="9">
        <v>0.46700000000000003</v>
      </c>
      <c r="G71" s="7">
        <v>278600</v>
      </c>
      <c r="H71" s="7">
        <v>279700</v>
      </c>
    </row>
    <row r="72" spans="1:8" x14ac:dyDescent="0.25">
      <c r="A72" s="47">
        <f>IF(AND('Experience Rating'!$E$26&gt;='Credibility&amp;MSLTable'!B72,'Experience Rating'!$E$26&lt;='Credibility&amp;MSLTable'!C72),1,0)</f>
        <v>0</v>
      </c>
      <c r="B72" s="7">
        <v>1488644</v>
      </c>
      <c r="C72" s="7">
        <v>1564355</v>
      </c>
      <c r="D72" s="8">
        <v>0.72</v>
      </c>
      <c r="E72" s="9">
        <v>0.46500000000000002</v>
      </c>
      <c r="F72" s="9">
        <v>0.46700000000000003</v>
      </c>
      <c r="G72" s="7">
        <v>288600</v>
      </c>
      <c r="H72" s="7">
        <v>289600</v>
      </c>
    </row>
    <row r="73" spans="1:8" x14ac:dyDescent="0.25">
      <c r="A73" s="47">
        <f>IF(AND('Experience Rating'!$E$26&gt;='Credibility&amp;MSLTable'!B73,'Experience Rating'!$E$26&lt;='Credibility&amp;MSLTable'!C73),1,0)</f>
        <v>0</v>
      </c>
      <c r="B73" s="7">
        <v>1564356</v>
      </c>
      <c r="C73" s="7">
        <v>1645778</v>
      </c>
      <c r="D73" s="8">
        <v>0.73</v>
      </c>
      <c r="E73" s="9">
        <v>0.46600000000000003</v>
      </c>
      <c r="F73" s="9">
        <v>0.46700000000000003</v>
      </c>
      <c r="G73" s="7">
        <v>299300</v>
      </c>
      <c r="H73" s="7">
        <v>300250</v>
      </c>
    </row>
    <row r="74" spans="1:8" x14ac:dyDescent="0.25">
      <c r="A74" s="47">
        <f>IF(AND('Experience Rating'!$E$26&gt;='Credibility&amp;MSLTable'!B74,'Experience Rating'!$E$26&lt;='Credibility&amp;MSLTable'!C74),1,0)</f>
        <v>0</v>
      </c>
      <c r="B74" s="7">
        <v>1645779</v>
      </c>
      <c r="C74" s="7">
        <v>1733588</v>
      </c>
      <c r="D74" s="8">
        <v>0.74</v>
      </c>
      <c r="E74" s="9">
        <v>0.46600000000000003</v>
      </c>
      <c r="F74" s="9">
        <v>0.46700000000000003</v>
      </c>
      <c r="G74" s="7">
        <v>310800</v>
      </c>
      <c r="H74" s="7">
        <v>311700</v>
      </c>
    </row>
    <row r="75" spans="1:8" x14ac:dyDescent="0.25">
      <c r="A75" s="47">
        <f>IF(AND('Experience Rating'!$E$26&gt;='Credibility&amp;MSLTable'!B75,'Experience Rating'!$E$26&lt;='Credibility&amp;MSLTable'!C75),1,0)</f>
        <v>0</v>
      </c>
      <c r="B75" s="7">
        <v>1733589</v>
      </c>
      <c r="C75" s="7">
        <v>1828566</v>
      </c>
      <c r="D75" s="8">
        <v>0.75</v>
      </c>
      <c r="E75" s="9">
        <v>0.46600000000000003</v>
      </c>
      <c r="F75" s="9">
        <v>0.46700000000000003</v>
      </c>
      <c r="G75" s="7">
        <v>323200</v>
      </c>
      <c r="H75" s="7">
        <v>324000</v>
      </c>
    </row>
    <row r="76" spans="1:8" x14ac:dyDescent="0.25">
      <c r="A76" s="47">
        <f>IF(AND('Experience Rating'!$E$26&gt;='Credibility&amp;MSLTable'!B76,'Experience Rating'!$E$26&lt;='Credibility&amp;MSLTable'!C76),1,0)</f>
        <v>0</v>
      </c>
      <c r="B76" s="7">
        <v>1828567</v>
      </c>
      <c r="C76" s="7">
        <v>1931628</v>
      </c>
      <c r="D76" s="8">
        <v>0.76</v>
      </c>
      <c r="E76" s="9">
        <v>0.46600000000000003</v>
      </c>
      <c r="F76" s="9">
        <v>0.46800000000000003</v>
      </c>
      <c r="G76" s="7">
        <v>336550</v>
      </c>
      <c r="H76" s="7">
        <v>337350</v>
      </c>
    </row>
    <row r="77" spans="1:8" x14ac:dyDescent="0.25">
      <c r="A77" s="47">
        <f>IF(AND('Experience Rating'!$E$26&gt;='Credibility&amp;MSLTable'!B77,'Experience Rating'!$E$26&lt;='Credibility&amp;MSLTable'!C77),1,0)</f>
        <v>0</v>
      </c>
      <c r="B77" s="7">
        <v>1931629</v>
      </c>
      <c r="C77" s="7">
        <v>2043850</v>
      </c>
      <c r="D77" s="8">
        <v>0.77</v>
      </c>
      <c r="E77" s="9">
        <v>0.46700000000000003</v>
      </c>
      <c r="F77" s="9">
        <v>0.46800000000000003</v>
      </c>
      <c r="G77" s="7">
        <v>351050</v>
      </c>
      <c r="H77" s="7">
        <v>351800</v>
      </c>
    </row>
    <row r="78" spans="1:8" x14ac:dyDescent="0.25">
      <c r="A78" s="47">
        <f>IF(AND('Experience Rating'!$E$26&gt;='Credibility&amp;MSLTable'!B78,'Experience Rating'!$E$26&lt;='Credibility&amp;MSLTable'!C78),1,0)</f>
        <v>0</v>
      </c>
      <c r="B78" s="7">
        <v>2043851</v>
      </c>
      <c r="C78" s="7">
        <v>2166511</v>
      </c>
      <c r="D78" s="8">
        <v>0.78</v>
      </c>
      <c r="E78" s="9">
        <v>0.46700000000000003</v>
      </c>
      <c r="F78" s="9">
        <v>0.46800000000000003</v>
      </c>
      <c r="G78" s="7">
        <v>366850</v>
      </c>
      <c r="H78" s="7">
        <v>367550</v>
      </c>
    </row>
    <row r="79" spans="1:8" x14ac:dyDescent="0.25">
      <c r="A79" s="47">
        <f>IF(AND('Experience Rating'!$E$26&gt;='Credibility&amp;MSLTable'!B79,'Experience Rating'!$E$26&lt;='Credibility&amp;MSLTable'!C79),1,0)</f>
        <v>0</v>
      </c>
      <c r="B79" s="7">
        <v>2166512</v>
      </c>
      <c r="C79" s="7">
        <v>2301141</v>
      </c>
      <c r="D79" s="8">
        <v>0.79</v>
      </c>
      <c r="E79" s="9">
        <v>0.46700000000000003</v>
      </c>
      <c r="F79" s="9">
        <v>0.46800000000000003</v>
      </c>
      <c r="G79" s="7">
        <v>384100</v>
      </c>
      <c r="H79" s="7">
        <v>384700</v>
      </c>
    </row>
    <row r="80" spans="1:8" x14ac:dyDescent="0.25">
      <c r="A80" s="47">
        <f>IF(AND('Experience Rating'!$E$26&gt;='Credibility&amp;MSLTable'!B80,'Experience Rating'!$E$26&lt;='Credibility&amp;MSLTable'!C80),1,0)</f>
        <v>0</v>
      </c>
      <c r="B80" s="7">
        <v>2301142</v>
      </c>
      <c r="C80" s="7">
        <v>2449577</v>
      </c>
      <c r="D80" s="8">
        <v>0.8</v>
      </c>
      <c r="E80" s="9">
        <v>0.46700000000000003</v>
      </c>
      <c r="F80" s="9">
        <v>0.46800000000000003</v>
      </c>
      <c r="G80" s="7">
        <v>403000</v>
      </c>
      <c r="H80" s="7">
        <v>403550</v>
      </c>
    </row>
    <row r="81" spans="1:8" x14ac:dyDescent="0.25">
      <c r="A81" s="47">
        <f>IF(AND('Experience Rating'!$E$26&gt;='Credibility&amp;MSLTable'!B81,'Experience Rating'!$E$26&lt;='Credibility&amp;MSLTable'!C81),1,0)</f>
        <v>0</v>
      </c>
      <c r="B81" s="7">
        <v>2449578</v>
      </c>
      <c r="C81" s="7">
        <v>2614062</v>
      </c>
      <c r="D81" s="8">
        <v>0.81</v>
      </c>
      <c r="E81" s="9">
        <v>0.46700000000000003</v>
      </c>
      <c r="F81" s="9">
        <v>0.46800000000000003</v>
      </c>
      <c r="G81" s="7">
        <v>423800</v>
      </c>
      <c r="H81" s="7">
        <v>424350</v>
      </c>
    </row>
    <row r="82" spans="1:8" x14ac:dyDescent="0.25">
      <c r="A82" s="47">
        <f>IF(AND('Experience Rating'!$E$26&gt;='Credibility&amp;MSLTable'!B82,'Experience Rating'!$E$26&lt;='Credibility&amp;MSLTable'!C82),1,0)</f>
        <v>0</v>
      </c>
      <c r="B82" s="7">
        <v>2614063</v>
      </c>
      <c r="C82" s="7">
        <v>2797344</v>
      </c>
      <c r="D82" s="8">
        <v>0.82</v>
      </c>
      <c r="E82" s="9">
        <v>0.46700000000000003</v>
      </c>
      <c r="F82" s="9">
        <v>0.46800000000000003</v>
      </c>
      <c r="G82" s="7">
        <v>446850</v>
      </c>
      <c r="H82" s="7">
        <v>447350</v>
      </c>
    </row>
    <row r="83" spans="1:8" x14ac:dyDescent="0.25">
      <c r="A83" s="47">
        <f>IF(AND('Experience Rating'!$E$26&gt;='Credibility&amp;MSLTable'!B83,'Experience Rating'!$E$26&lt;='Credibility&amp;MSLTable'!C83),1,0)</f>
        <v>0</v>
      </c>
      <c r="B83" s="7">
        <v>2797345</v>
      </c>
      <c r="C83" s="7">
        <v>3002842</v>
      </c>
      <c r="D83" s="8">
        <v>0.83</v>
      </c>
      <c r="E83" s="9">
        <v>0.46800000000000003</v>
      </c>
      <c r="F83" s="9">
        <v>0.46800000000000003</v>
      </c>
      <c r="G83" s="7">
        <v>472550</v>
      </c>
      <c r="H83" s="7">
        <v>473000</v>
      </c>
    </row>
    <row r="84" spans="1:8" x14ac:dyDescent="0.25">
      <c r="A84" s="47">
        <f>IF(AND('Experience Rating'!$E$26&gt;='Credibility&amp;MSLTable'!B84,'Experience Rating'!$E$26&lt;='Credibility&amp;MSLTable'!C84),1,0)</f>
        <v>0</v>
      </c>
      <c r="B84" s="7">
        <v>3002843</v>
      </c>
      <c r="C84" s="7">
        <v>3234855</v>
      </c>
      <c r="D84" s="8">
        <v>0.84</v>
      </c>
      <c r="E84" s="9">
        <v>0.46800000000000003</v>
      </c>
      <c r="F84" s="9">
        <v>0.46800000000000003</v>
      </c>
      <c r="G84" s="7">
        <v>501350</v>
      </c>
      <c r="H84" s="7">
        <v>501750</v>
      </c>
    </row>
    <row r="85" spans="1:8" x14ac:dyDescent="0.25">
      <c r="A85" s="47">
        <f>IF(AND('Experience Rating'!$E$26&gt;='Credibility&amp;MSLTable'!B85,'Experience Rating'!$E$26&lt;='Credibility&amp;MSLTable'!C85),1,0)</f>
        <v>0</v>
      </c>
      <c r="B85" s="7">
        <v>3234856</v>
      </c>
      <c r="C85" s="7">
        <v>3498872</v>
      </c>
      <c r="D85" s="8">
        <v>0.85</v>
      </c>
      <c r="E85" s="9">
        <v>0.46800000000000003</v>
      </c>
      <c r="F85" s="9">
        <v>0.46800000000000003</v>
      </c>
      <c r="G85" s="7">
        <v>533800</v>
      </c>
      <c r="H85" s="7">
        <v>534200</v>
      </c>
    </row>
    <row r="86" spans="1:8" x14ac:dyDescent="0.25">
      <c r="A86" s="47">
        <f>IF(AND('Experience Rating'!$E$26&gt;='Credibility&amp;MSLTable'!B86,'Experience Rating'!$E$26&lt;='Credibility&amp;MSLTable'!C86),1,0)</f>
        <v>0</v>
      </c>
      <c r="B86" s="7">
        <v>3498873</v>
      </c>
      <c r="C86" s="7">
        <v>3802002</v>
      </c>
      <c r="D86" s="8">
        <v>0.86</v>
      </c>
      <c r="E86" s="9">
        <v>0.46800000000000003</v>
      </c>
      <c r="F86" s="9">
        <v>0.46800000000000003</v>
      </c>
      <c r="G86" s="7">
        <v>570750</v>
      </c>
      <c r="H86" s="7">
        <v>571100</v>
      </c>
    </row>
    <row r="87" spans="1:8" x14ac:dyDescent="0.25">
      <c r="A87" s="47">
        <f>IF(AND('Experience Rating'!$E$26&gt;='Credibility&amp;MSLTable'!B87,'Experience Rating'!$E$26&lt;='Credibility&amp;MSLTable'!C87),1,0)</f>
        <v>0</v>
      </c>
      <c r="B87" s="7">
        <v>3802003</v>
      </c>
      <c r="C87" s="7">
        <v>4153632</v>
      </c>
      <c r="D87" s="8">
        <v>0.87</v>
      </c>
      <c r="E87" s="9">
        <v>0.46800000000000003</v>
      </c>
      <c r="F87" s="9">
        <v>0.46800000000000003</v>
      </c>
      <c r="G87" s="7">
        <v>613200</v>
      </c>
      <c r="H87" s="7">
        <v>613450</v>
      </c>
    </row>
    <row r="88" spans="1:8" x14ac:dyDescent="0.25">
      <c r="A88" s="47">
        <f>IF(AND('Experience Rating'!$E$26&gt;='Credibility&amp;MSLTable'!B88,'Experience Rating'!$E$26&lt;='Credibility&amp;MSLTable'!C88),1,0)</f>
        <v>0</v>
      </c>
      <c r="B88" s="7">
        <v>4153633</v>
      </c>
      <c r="C88" s="7">
        <v>4566415</v>
      </c>
      <c r="D88" s="8">
        <v>0.88</v>
      </c>
      <c r="E88" s="9">
        <v>0.46800000000000003</v>
      </c>
      <c r="F88" s="9">
        <v>0.46800000000000003</v>
      </c>
      <c r="G88" s="7">
        <v>662350</v>
      </c>
      <c r="H88" s="7">
        <v>662600</v>
      </c>
    </row>
    <row r="89" spans="1:8" x14ac:dyDescent="0.25">
      <c r="A89" s="47">
        <f>IF(AND('Experience Rating'!$E$26&gt;='Credibility&amp;MSLTable'!B89,'Experience Rating'!$E$26&lt;='Credibility&amp;MSLTable'!C89),1,0)</f>
        <v>0</v>
      </c>
      <c r="B89" s="7">
        <v>4566416</v>
      </c>
      <c r="C89" s="7">
        <v>5057823</v>
      </c>
      <c r="D89" s="8">
        <v>0.89</v>
      </c>
      <c r="E89" s="9">
        <v>0.46800000000000003</v>
      </c>
      <c r="F89" s="9">
        <v>0.46800000000000003</v>
      </c>
      <c r="G89" s="7">
        <v>720100</v>
      </c>
      <c r="H89" s="7">
        <v>720300</v>
      </c>
    </row>
    <row r="90" spans="1:8" x14ac:dyDescent="0.25">
      <c r="A90" s="47">
        <f>IF(AND('Experience Rating'!$E$26&gt;='Credibility&amp;MSLTable'!B90,'Experience Rating'!$E$26&lt;='Credibility&amp;MSLTable'!C90),1,0)</f>
        <v>0</v>
      </c>
      <c r="B90" s="7">
        <v>5057824</v>
      </c>
      <c r="C90" s="7">
        <v>5652686</v>
      </c>
      <c r="D90" s="8">
        <v>0.9</v>
      </c>
      <c r="E90" s="9">
        <v>0.46800000000000003</v>
      </c>
      <c r="F90" s="9">
        <v>0.46800000000000003</v>
      </c>
      <c r="G90" s="7">
        <v>788800</v>
      </c>
      <c r="H90" s="7">
        <v>788950</v>
      </c>
    </row>
    <row r="91" spans="1:8" x14ac:dyDescent="0.25">
      <c r="A91" s="47">
        <f>IF(AND('Experience Rating'!$E$26&gt;='Credibility&amp;MSLTable'!B91,'Experience Rating'!$E$26&lt;='Credibility&amp;MSLTable'!C91),1,0)</f>
        <v>0</v>
      </c>
      <c r="B91" s="7">
        <v>5652687</v>
      </c>
      <c r="C91" s="7">
        <v>6387517</v>
      </c>
      <c r="D91" s="8">
        <v>0.91</v>
      </c>
      <c r="E91" s="9">
        <v>0.46800000000000003</v>
      </c>
      <c r="F91" s="9">
        <v>0.46800000000000003</v>
      </c>
      <c r="G91" s="7">
        <v>871950</v>
      </c>
      <c r="H91" s="7">
        <v>872100</v>
      </c>
    </row>
    <row r="92" spans="1:8" x14ac:dyDescent="0.25">
      <c r="A92" s="47">
        <f>IF(AND('Experience Rating'!$E$26&gt;='Credibility&amp;MSLTable'!B92,'Experience Rating'!$E$26&lt;='Credibility&amp;MSLTable'!C92),1,0)</f>
        <v>0</v>
      </c>
      <c r="B92" s="7">
        <v>6387518</v>
      </c>
      <c r="C92" s="7">
        <v>7318303</v>
      </c>
      <c r="D92" s="8">
        <v>0.92</v>
      </c>
      <c r="E92" s="9">
        <v>0.46800000000000003</v>
      </c>
      <c r="F92" s="9">
        <v>0.46800000000000003</v>
      </c>
      <c r="G92" s="7">
        <v>974650</v>
      </c>
      <c r="H92" s="7">
        <v>974750</v>
      </c>
    </row>
    <row r="93" spans="1:8" x14ac:dyDescent="0.25">
      <c r="A93" s="47">
        <f>IF(AND('Experience Rating'!$E$26&gt;='Credibility&amp;MSLTable'!B93,'Experience Rating'!$E$26&lt;='Credibility&amp;MSLTable'!C93),1,0)</f>
        <v>0</v>
      </c>
      <c r="B93" s="7">
        <v>7318304</v>
      </c>
      <c r="C93" s="7">
        <v>8535485</v>
      </c>
      <c r="D93" s="8">
        <v>0.93</v>
      </c>
      <c r="E93" s="9">
        <v>0.46800000000000003</v>
      </c>
      <c r="F93" s="9">
        <v>0.46800000000000003</v>
      </c>
      <c r="G93" s="7">
        <v>1104700</v>
      </c>
      <c r="H93" s="7">
        <v>1104800</v>
      </c>
    </row>
    <row r="94" spans="1:8" x14ac:dyDescent="0.25">
      <c r="A94" s="47">
        <f>IF(AND('Experience Rating'!$E$26&gt;='Credibility&amp;MSLTable'!B94,'Experience Rating'!$E$26&lt;='Credibility&amp;MSLTable'!C94),1,0)</f>
        <v>0</v>
      </c>
      <c r="B94" s="7">
        <v>8535486</v>
      </c>
      <c r="C94" s="7">
        <v>10195278</v>
      </c>
      <c r="D94" s="8">
        <v>0.94</v>
      </c>
      <c r="E94" s="9">
        <v>0.46800000000000003</v>
      </c>
      <c r="F94" s="9">
        <v>0.46800000000000003</v>
      </c>
      <c r="G94" s="7">
        <v>1274800</v>
      </c>
      <c r="H94" s="7">
        <v>1274850</v>
      </c>
    </row>
    <row r="95" spans="1:8" x14ac:dyDescent="0.25">
      <c r="A95" s="47">
        <f>IF(AND('Experience Rating'!$E$26&gt;='Credibility&amp;MSLTable'!B95,'Experience Rating'!$E$26&lt;='Credibility&amp;MSLTable'!C95),1,0)</f>
        <v>0</v>
      </c>
      <c r="B95" s="7">
        <v>10195279</v>
      </c>
      <c r="C95" s="7">
        <v>12592759</v>
      </c>
      <c r="D95" s="8">
        <v>0.95</v>
      </c>
      <c r="E95" s="9">
        <v>0.46800000000000003</v>
      </c>
      <c r="F95" s="9">
        <v>0.46800000000000003</v>
      </c>
      <c r="G95" s="7">
        <v>1506700</v>
      </c>
      <c r="H95" s="7">
        <v>1506750</v>
      </c>
    </row>
    <row r="96" spans="1:8" x14ac:dyDescent="0.25">
      <c r="A96" s="47">
        <f>IF(AND('Experience Rating'!$E$26&gt;='Credibility&amp;MSLTable'!B96,'Experience Rating'!$E$26&lt;='Credibility&amp;MSLTable'!C96),1,0)</f>
        <v>0</v>
      </c>
      <c r="B96" s="7">
        <v>12592760</v>
      </c>
      <c r="C96" s="7">
        <v>16360224</v>
      </c>
      <c r="D96" s="8">
        <v>0.96</v>
      </c>
      <c r="E96" s="9">
        <v>0.46800000000000003</v>
      </c>
      <c r="F96" s="9">
        <v>0.46800000000000003</v>
      </c>
      <c r="G96" s="7">
        <v>1841650</v>
      </c>
      <c r="H96" s="7">
        <v>1841700</v>
      </c>
    </row>
    <row r="97" spans="1:8" x14ac:dyDescent="0.25">
      <c r="A97" s="47">
        <f>IF(AND('Experience Rating'!$E$26&gt;='Credibility&amp;MSLTable'!B97,'Experience Rating'!$E$26&lt;='Credibility&amp;MSLTable'!C97),1,0)</f>
        <v>0</v>
      </c>
      <c r="B97" s="7">
        <v>16360225</v>
      </c>
      <c r="C97" s="7">
        <v>23141667</v>
      </c>
      <c r="D97" s="8">
        <v>0.97</v>
      </c>
      <c r="E97" s="9">
        <v>0.46800000000000003</v>
      </c>
      <c r="F97" s="9">
        <v>0.46800000000000003</v>
      </c>
      <c r="G97" s="7">
        <v>2368000</v>
      </c>
      <c r="H97" s="7">
        <v>2368000</v>
      </c>
    </row>
    <row r="98" spans="1:8" x14ac:dyDescent="0.25">
      <c r="A98" s="47">
        <f>IF(AND('Experience Rating'!$E$26&gt;='Credibility&amp;MSLTable'!B98,'Experience Rating'!$E$26&lt;='Credibility&amp;MSLTable'!C98),1,0)</f>
        <v>0</v>
      </c>
      <c r="B98" s="7">
        <v>23141668</v>
      </c>
      <c r="C98" s="7">
        <v>38965028</v>
      </c>
      <c r="D98" s="8">
        <v>0.98</v>
      </c>
      <c r="E98" s="9">
        <v>0.46800000000000003</v>
      </c>
      <c r="F98" s="9">
        <v>0.46800000000000003</v>
      </c>
      <c r="G98" s="7">
        <v>3315400</v>
      </c>
      <c r="H98" s="7">
        <v>3315400</v>
      </c>
    </row>
    <row r="99" spans="1:8" x14ac:dyDescent="0.25">
      <c r="A99" s="47">
        <f>IF(AND('Experience Rating'!$E$26&gt;='Credibility&amp;MSLTable'!B99,'Experience Rating'!$E$26&lt;='Credibility&amp;MSLTable'!C99),1,0)</f>
        <v>0</v>
      </c>
      <c r="B99" s="7">
        <v>38965029</v>
      </c>
      <c r="C99" s="7">
        <v>118081838</v>
      </c>
      <c r="D99" s="8">
        <v>0.99</v>
      </c>
      <c r="E99" s="9">
        <v>0.46800000000000003</v>
      </c>
      <c r="F99" s="9">
        <v>0.46800000000000003</v>
      </c>
      <c r="G99" s="7">
        <v>5525950</v>
      </c>
      <c r="H99" s="7">
        <v>5525950</v>
      </c>
    </row>
    <row r="100" spans="1:8" x14ac:dyDescent="0.25">
      <c r="A100" s="47">
        <f>IF(AND('Experience Rating'!$E$26&gt;='Credibility&amp;MSLTable'!B100,'Experience Rating'!$E$26&lt;='Credibility&amp;MSLTable'!C100),1,0)</f>
        <v>0</v>
      </c>
      <c r="B100" s="7">
        <v>118081839</v>
      </c>
      <c r="C100" s="7">
        <v>118081839000</v>
      </c>
      <c r="D100" s="8">
        <v>1</v>
      </c>
      <c r="E100" s="9">
        <v>0.46800000000000003</v>
      </c>
      <c r="F100" s="9">
        <v>0.46800000000000003</v>
      </c>
      <c r="G100" s="7">
        <v>16578700</v>
      </c>
      <c r="H100" s="7">
        <v>16578700</v>
      </c>
    </row>
    <row r="101" spans="1:8" x14ac:dyDescent="0.25">
      <c r="A101" s="47">
        <f>IF('Experience Rating'!$E$26&lt;B3,1,0)</f>
        <v>0</v>
      </c>
      <c r="B101" t="s">
        <v>119</v>
      </c>
      <c r="D101" s="35">
        <v>0</v>
      </c>
      <c r="E101" s="35">
        <v>0</v>
      </c>
      <c r="F101" s="35">
        <v>0</v>
      </c>
      <c r="G101" s="148">
        <v>0</v>
      </c>
      <c r="H101" s="44">
        <v>0</v>
      </c>
    </row>
    <row r="102" spans="1:8" x14ac:dyDescent="0.25">
      <c r="B102" s="10"/>
      <c r="C102" s="10"/>
      <c r="D102" s="11"/>
      <c r="E102" s="12"/>
      <c r="F102" s="12"/>
      <c r="G102" s="10"/>
      <c r="H102" s="10"/>
    </row>
    <row r="103" spans="1:8" x14ac:dyDescent="0.25">
      <c r="B103" s="10"/>
      <c r="C103" s="10"/>
      <c r="D103" s="11"/>
      <c r="E103" s="12"/>
      <c r="F103" s="12"/>
      <c r="G103" s="10"/>
      <c r="H103" s="10"/>
    </row>
  </sheetData>
  <mergeCells count="3">
    <mergeCell ref="E1:F1"/>
    <mergeCell ref="G1:H1"/>
    <mergeCell ref="B2:C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0976D-1656-4947-A7D8-162BAC1A83A7}">
  <sheetPr codeName="Sheet7"/>
  <dimension ref="A1:D9"/>
  <sheetViews>
    <sheetView workbookViewId="0">
      <selection activeCell="D9" sqref="D9"/>
    </sheetView>
  </sheetViews>
  <sheetFormatPr defaultRowHeight="15" x14ac:dyDescent="0.25"/>
  <cols>
    <col min="1" max="1" width="13.7109375" customWidth="1"/>
    <col min="2" max="4" width="8.85546875" customWidth="1"/>
  </cols>
  <sheetData>
    <row r="1" spans="1:4" ht="75" x14ac:dyDescent="0.25">
      <c r="A1" s="134"/>
      <c r="B1" s="151" t="s">
        <v>120</v>
      </c>
      <c r="C1" s="135" t="s">
        <v>121</v>
      </c>
      <c r="D1" s="135" t="s">
        <v>122</v>
      </c>
    </row>
    <row r="2" spans="1:4" x14ac:dyDescent="0.25">
      <c r="A2" s="134" t="s">
        <v>123</v>
      </c>
      <c r="B2" s="138">
        <v>0.95199999999999996</v>
      </c>
      <c r="C2" s="138">
        <v>0.92900000000000005</v>
      </c>
      <c r="D2" s="138">
        <v>0.90600000000000003</v>
      </c>
    </row>
    <row r="3" spans="1:4" x14ac:dyDescent="0.25">
      <c r="A3" s="134"/>
    </row>
    <row r="4" spans="1:4" x14ac:dyDescent="0.25">
      <c r="A4" s="134"/>
    </row>
    <row r="5" spans="1:4" x14ac:dyDescent="0.25">
      <c r="A5" s="134" t="s">
        <v>124</v>
      </c>
    </row>
    <row r="6" spans="1:4" ht="75" x14ac:dyDescent="0.25">
      <c r="A6" s="134"/>
      <c r="B6" s="151" t="s">
        <v>120</v>
      </c>
      <c r="C6" s="135" t="s">
        <v>121</v>
      </c>
      <c r="D6" s="135" t="s">
        <v>122</v>
      </c>
    </row>
    <row r="7" spans="1:4" x14ac:dyDescent="0.25">
      <c r="A7" s="136" t="s">
        <v>89</v>
      </c>
      <c r="B7" s="137">
        <v>0.13300000000000001</v>
      </c>
      <c r="C7" s="137">
        <v>5.8999999999999997E-2</v>
      </c>
      <c r="D7" s="137">
        <v>2.8000000000000001E-2</v>
      </c>
    </row>
    <row r="8" spans="1:4" x14ac:dyDescent="0.25">
      <c r="A8" s="136" t="s">
        <v>125</v>
      </c>
      <c r="B8" s="137">
        <v>0.36</v>
      </c>
      <c r="C8" s="137">
        <v>0.158</v>
      </c>
      <c r="D8" s="137">
        <v>7.4999999999999997E-2</v>
      </c>
    </row>
    <row r="9" spans="1:4" x14ac:dyDescent="0.25">
      <c r="A9" s="134" t="s">
        <v>117</v>
      </c>
      <c r="B9" s="44">
        <v>0.28799999999999998</v>
      </c>
      <c r="C9" s="44">
        <v>0.126</v>
      </c>
      <c r="D9" s="44">
        <v>4.8000000000000001E-2</v>
      </c>
    </row>
  </sheetData>
  <printOptions heading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B2F9-4BBA-41C9-A8EC-AEC9F994025D}">
  <sheetPr codeName="Sheet8">
    <pageSetUpPr fitToPage="1"/>
  </sheetPr>
  <dimension ref="A1:K30"/>
  <sheetViews>
    <sheetView showGridLines="0" showZeros="0" zoomScaleNormal="100" workbookViewId="0">
      <selection activeCell="B16" sqref="B16"/>
    </sheetView>
  </sheetViews>
  <sheetFormatPr defaultRowHeight="15" x14ac:dyDescent="0.25"/>
  <cols>
    <col min="1" max="1" width="5.140625" customWidth="1"/>
    <col min="2" max="2" width="105.7109375" customWidth="1"/>
    <col min="3" max="3" width="3.5703125" customWidth="1"/>
    <col min="4" max="4" width="13.7109375" customWidth="1"/>
    <col min="5" max="5" width="3.140625" customWidth="1"/>
  </cols>
  <sheetData>
    <row r="1" spans="1:11" x14ac:dyDescent="0.25">
      <c r="A1" s="107"/>
    </row>
    <row r="2" spans="1:11" ht="21.75" customHeight="1" x14ac:dyDescent="0.25"/>
    <row r="3" spans="1:11" ht="16.5" customHeight="1" x14ac:dyDescent="0.3">
      <c r="A3" s="172" t="s">
        <v>126</v>
      </c>
      <c r="B3" s="168"/>
      <c r="C3" s="168"/>
      <c r="D3" s="168"/>
      <c r="E3" s="149"/>
      <c r="F3" s="149"/>
      <c r="G3" s="149"/>
      <c r="H3" s="149"/>
      <c r="I3" s="149"/>
      <c r="J3" s="149"/>
      <c r="K3" s="149"/>
    </row>
    <row r="4" spans="1:11" x14ac:dyDescent="0.25">
      <c r="A4" s="114" t="s">
        <v>44</v>
      </c>
      <c r="B4" s="113"/>
    </row>
    <row r="6" spans="1:11" ht="18" customHeight="1" x14ac:dyDescent="0.25">
      <c r="A6" s="64" t="s">
        <v>127</v>
      </c>
      <c r="B6" s="15" t="s">
        <v>128</v>
      </c>
      <c r="C6" s="13" t="s">
        <v>129</v>
      </c>
      <c r="D6" s="102"/>
    </row>
    <row r="7" spans="1:11" s="14" customFormat="1" ht="14.25" customHeight="1" x14ac:dyDescent="0.2">
      <c r="A7" s="65" t="s">
        <v>130</v>
      </c>
      <c r="B7" s="31" t="s">
        <v>131</v>
      </c>
      <c r="C7" s="13" t="s">
        <v>129</v>
      </c>
      <c r="D7" s="99"/>
    </row>
    <row r="8" spans="1:11" ht="14.25" customHeight="1" x14ac:dyDescent="0.25">
      <c r="A8" s="66" t="s">
        <v>132</v>
      </c>
      <c r="B8" s="95" t="s">
        <v>133</v>
      </c>
      <c r="C8" s="13" t="s">
        <v>129</v>
      </c>
      <c r="D8" s="100"/>
    </row>
    <row r="9" spans="1:11" ht="15.75" customHeight="1" x14ac:dyDescent="0.25">
      <c r="A9" s="65" t="s">
        <v>134</v>
      </c>
      <c r="B9" s="150" t="s">
        <v>135</v>
      </c>
      <c r="C9" s="13" t="s">
        <v>129</v>
      </c>
      <c r="D9" s="100"/>
    </row>
    <row r="10" spans="1:11" ht="14.25" customHeight="1" x14ac:dyDescent="0.25">
      <c r="A10" s="66" t="s">
        <v>136</v>
      </c>
      <c r="B10" s="95" t="s">
        <v>137</v>
      </c>
      <c r="C10" s="13" t="s">
        <v>129</v>
      </c>
      <c r="D10" s="101" t="str">
        <f>IF(OR(D7=0,D9=0),"",ROUND((D6/D7+D8/D9)/2,0))</f>
        <v/>
      </c>
    </row>
    <row r="11" spans="1:11" ht="13.5" customHeight="1" x14ac:dyDescent="0.25">
      <c r="A11" s="66" t="s">
        <v>138</v>
      </c>
      <c r="B11" s="95" t="s">
        <v>139</v>
      </c>
      <c r="C11" s="13" t="s">
        <v>129</v>
      </c>
      <c r="D11" s="101" t="str">
        <f>IF(D6+D8=0,"",ROUND((D6+D8)/2,0))</f>
        <v/>
      </c>
    </row>
    <row r="12" spans="1:11" ht="14.25" customHeight="1" x14ac:dyDescent="0.25">
      <c r="A12" s="66" t="s">
        <v>140</v>
      </c>
      <c r="B12" s="95" t="s">
        <v>141</v>
      </c>
      <c r="C12" s="13" t="s">
        <v>129</v>
      </c>
      <c r="D12" s="100"/>
    </row>
    <row r="13" spans="1:11" ht="15" customHeight="1" x14ac:dyDescent="0.25">
      <c r="A13" s="66" t="s">
        <v>142</v>
      </c>
      <c r="B13" s="95" t="s">
        <v>143</v>
      </c>
      <c r="C13" s="13" t="s">
        <v>129</v>
      </c>
      <c r="D13" s="103" t="str">
        <f>IF(D12=0,"",ROUND((D11/D12)*100,2))</f>
        <v/>
      </c>
    </row>
    <row r="14" spans="1:11" ht="15" customHeight="1" x14ac:dyDescent="0.25">
      <c r="A14" s="66" t="s">
        <v>144</v>
      </c>
      <c r="B14" s="95" t="s">
        <v>145</v>
      </c>
      <c r="C14" s="13" t="s">
        <v>129</v>
      </c>
      <c r="D14" s="100"/>
    </row>
    <row r="15" spans="1:11" ht="14.25" customHeight="1" x14ac:dyDescent="0.25">
      <c r="A15" s="66" t="s">
        <v>146</v>
      </c>
      <c r="B15" s="95" t="s">
        <v>147</v>
      </c>
      <c r="C15" s="13" t="s">
        <v>129</v>
      </c>
      <c r="D15" s="101" t="str">
        <f>IF(OR(D14=0,D13=0),"",ROUND((D14/100)*D13,0))</f>
        <v/>
      </c>
    </row>
    <row r="16" spans="1:11" ht="15" customHeight="1" x14ac:dyDescent="0.25">
      <c r="A16" s="66" t="s">
        <v>148</v>
      </c>
      <c r="B16" s="95" t="s">
        <v>149</v>
      </c>
      <c r="C16" s="13" t="s">
        <v>129</v>
      </c>
      <c r="D16" s="101" t="str">
        <f>IF(D10="","",IF(D11="","",IF(ROUND(0.2*D11,0)&gt;ROUND(3*D10,0),ROUND(0.2*D11,0),ROUND(3*D10,0))))</f>
        <v/>
      </c>
    </row>
    <row r="18" spans="1:4" ht="25.5" customHeight="1" x14ac:dyDescent="0.25">
      <c r="A18" s="115" t="s">
        <v>27</v>
      </c>
      <c r="B18" s="219" t="s">
        <v>150</v>
      </c>
      <c r="C18" s="220"/>
      <c r="D18" s="220"/>
    </row>
    <row r="20" spans="1:4" x14ac:dyDescent="0.25">
      <c r="A20" s="164" t="s">
        <v>32</v>
      </c>
      <c r="B20" s="165"/>
      <c r="C20" s="165"/>
      <c r="D20" s="166"/>
    </row>
    <row r="21" spans="1:4" ht="41.25" customHeight="1" x14ac:dyDescent="0.25">
      <c r="A21" s="123" t="s">
        <v>82</v>
      </c>
      <c r="B21" s="124" t="s">
        <v>151</v>
      </c>
      <c r="D21" s="158"/>
    </row>
    <row r="22" spans="1:4" ht="19.5" customHeight="1" x14ac:dyDescent="0.25">
      <c r="A22" s="121" t="s">
        <v>84</v>
      </c>
      <c r="B22" s="122" t="s">
        <v>38</v>
      </c>
      <c r="C22" s="116"/>
      <c r="D22" s="117"/>
    </row>
    <row r="30" spans="1:4" x14ac:dyDescent="0.25">
      <c r="B30" s="107"/>
    </row>
  </sheetData>
  <sheetProtection sheet="1"/>
  <mergeCells count="3">
    <mergeCell ref="B18:D18"/>
    <mergeCell ref="A3:D3"/>
    <mergeCell ref="A20:D20"/>
  </mergeCells>
  <printOptions horizontalCentered="1"/>
  <pageMargins left="0.5" right="0.5" top="0.5" bottom="0.5" header="0.3" footer="0.3"/>
  <pageSetup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AF1A1C60F08F449D348BA451B0CC35" ma:contentTypeVersion="7" ma:contentTypeDescription="Create a new document." ma:contentTypeScope="" ma:versionID="a70a9674dfd75713f2f834e4f5f4b28c">
  <xsd:schema xmlns:xsd="http://www.w3.org/2001/XMLSchema" xmlns:xs="http://www.w3.org/2001/XMLSchema" xmlns:p="http://schemas.microsoft.com/office/2006/metadata/properties" xmlns:ns2="02a3748a-9c26-4ca2-9de2-5c75e73c416d" targetNamespace="http://schemas.microsoft.com/office/2006/metadata/properties" ma:root="true" ma:fieldsID="4a831d8152613f4948aa2290ba777442" ns2:_="">
    <xsd:import namespace="02a3748a-9c26-4ca2-9de2-5c75e73c41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3748a-9c26-4ca2-9de2-5c75e73c4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C78C80-F5A7-4565-9744-21A7EC9C083D}">
  <ds:schemaRefs>
    <ds:schemaRef ds:uri="http://schemas.microsoft.com/office/2006/metadata/longProperties"/>
  </ds:schemaRefs>
</ds:datastoreItem>
</file>

<file path=customXml/itemProps2.xml><?xml version="1.0" encoding="utf-8"?>
<ds:datastoreItem xmlns:ds="http://schemas.openxmlformats.org/officeDocument/2006/customXml" ds:itemID="{EDF9C49A-E63C-48AF-A2E2-C45EC77E101E}">
  <ds:schemaRefs>
    <ds:schemaRef ds:uri="http://schemas.microsoft.com/sharepoint/v3/contenttype/forms"/>
  </ds:schemaRefs>
</ds:datastoreItem>
</file>

<file path=customXml/itemProps3.xml><?xml version="1.0" encoding="utf-8"?>
<ds:datastoreItem xmlns:ds="http://schemas.openxmlformats.org/officeDocument/2006/customXml" ds:itemID="{5046D872-9958-4A9B-BBF8-30D0173F3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3748a-9c26-4ca2-9de2-5c75e73c4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A7C2241-3815-4889-AFB1-783C11A4EB58}">
  <ds:schemaRefs>
    <ds:schemaRef ds:uri="http://www.w3.org/XML/1998/namespace"/>
    <ds:schemaRef ds:uri="http://purl.org/dc/terms/"/>
    <ds:schemaRef ds:uri="http://purl.org/dc/dcmitype/"/>
    <ds:schemaRef ds:uri="http://schemas.microsoft.com/office/infopath/2007/PartnerControls"/>
    <ds:schemaRef ds:uri="02a3748a-9c26-4ca2-9de2-5c75e73c416d"/>
    <ds:schemaRef ds:uri="http://schemas.microsoft.com/office/2006/documentManagement/type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Trucks, Tractors, and Trailers</vt:lpstr>
      <vt:lpstr>Public Transportation</vt:lpstr>
      <vt:lpstr>Auto Dealers</vt:lpstr>
      <vt:lpstr>Experience Rating</vt:lpstr>
      <vt:lpstr>Credibility&amp;MSLTable</vt:lpstr>
      <vt:lpstr>LDFFactors</vt:lpstr>
      <vt:lpstr>Gross Receipts</vt:lpstr>
      <vt:lpstr>'Auto Dealers'!Print_Area</vt:lpstr>
      <vt:lpstr>'Experience Rating'!Print_Area</vt:lpstr>
      <vt:lpstr>'Gross Receipts'!Print_Area</vt:lpstr>
      <vt:lpstr>'Public Transportation'!Print_Area</vt:lpstr>
      <vt:lpstr>'Trucks, Tractors, and Trailers'!Print_Area</vt:lpstr>
      <vt:lpstr>'Public Transportation'!QuickMark</vt:lpstr>
    </vt:vector>
  </TitlesOfParts>
  <Manager/>
  <Company>AIPSO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AIPSO</dc:creator>
  <cp:keywords/>
  <dc:description/>
  <cp:lastModifiedBy>Kristina Kepperling</cp:lastModifiedBy>
  <cp:revision/>
  <dcterms:created xsi:type="dcterms:W3CDTF">2010-01-13T19:16:06Z</dcterms:created>
  <dcterms:modified xsi:type="dcterms:W3CDTF">2026-08-06T17:05:34Z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irate Date">
    <vt:lpwstr>2012-02-26T00:00:00Z</vt:lpwstr>
  </property>
  <property fmtid="{D5CDD505-2E9C-101B-9397-08002B2CF9AE}" pid="3" name="ContentType">
    <vt:lpwstr>Document</vt:lpwstr>
  </property>
  <property fmtid="{D5CDD505-2E9C-101B-9397-08002B2CF9AE}" pid="4" name="AIPSO Data Classification">
    <vt:lpwstr>Public</vt:lpwstr>
  </property>
  <property fmtid="{D5CDD505-2E9C-101B-9397-08002B2CF9AE}" pid="5" name="EmailTo">
    <vt:lpwstr/>
  </property>
  <property fmtid="{D5CDD505-2E9C-101B-9397-08002B2CF9AE}" pid="6" name="EmailSender">
    <vt:lpwstr/>
  </property>
  <property fmtid="{D5CDD505-2E9C-101B-9397-08002B2CF9AE}" pid="7" name="EmailFrom">
    <vt:lpwstr/>
  </property>
  <property fmtid="{D5CDD505-2E9C-101B-9397-08002B2CF9AE}" pid="8" name="EmailSubject">
    <vt:lpwstr/>
  </property>
  <property fmtid="{D5CDD505-2E9C-101B-9397-08002B2CF9AE}" pid="9" name="EmailCc">
    <vt:lpwstr/>
  </property>
  <property fmtid="{D5CDD505-2E9C-101B-9397-08002B2CF9AE}" pid="10" name="ContentTypeId">
    <vt:lpwstr>0x010100BAAF1A1C60F08F449D348BA451B0CC35</vt:lpwstr>
  </property>
  <property fmtid="{D5CDD505-2E9C-101B-9397-08002B2CF9AE}" pid="11" name="Order">
    <vt:r8>514600</vt:r8>
  </property>
</Properties>
</file>